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Data\2024-03-20_Prima_Klima-Strom_von_der_Sonne\"/>
    </mc:Choice>
  </mc:AlternateContent>
  <xr:revisionPtr revIDLastSave="0" documentId="13_ncr:1_{C494B24D-2A0F-490C-906B-122C63792845}" xr6:coauthVersionLast="47" xr6:coauthVersionMax="47" xr10:uidLastSave="{00000000-0000-0000-0000-000000000000}"/>
  <bookViews>
    <workbookView xWindow="-108" yWindow="-108" windowWidth="23256" windowHeight="12576" xr2:uid="{C4A8158D-8983-4745-9ADB-C98AFC48FB85}"/>
  </bookViews>
  <sheets>
    <sheet name="Modelldaten" sheetId="5" r:id="rId1"/>
    <sheet name="Geschäftsmodell" sheetId="2" r:id="rId2"/>
    <sheet name="Annuitäten" sheetId="3" r:id="rId3"/>
    <sheet name="Strompreisentwicklung" sheetId="4" r:id="rId4"/>
    <sheet name="Version Info"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5" l="1"/>
  <c r="C6" i="5"/>
  <c r="C11" i="5" l="1"/>
  <c r="R15" i="4"/>
  <c r="R14" i="4"/>
  <c r="Q13" i="4"/>
  <c r="C21" i="5" l="1"/>
  <c r="C16" i="5"/>
  <c r="N9" i="2"/>
  <c r="Q15" i="4"/>
  <c r="E25" i="2"/>
  <c r="F25" i="2"/>
  <c r="G25" i="2"/>
  <c r="H25" i="2"/>
  <c r="I25" i="2"/>
  <c r="J25" i="2"/>
  <c r="K25" i="2"/>
  <c r="L25" i="2"/>
  <c r="M25" i="2"/>
  <c r="N25" i="2"/>
  <c r="O25" i="2"/>
  <c r="P25" i="2"/>
  <c r="Q25" i="2"/>
  <c r="R25" i="2"/>
  <c r="S25" i="2"/>
  <c r="T25" i="2"/>
  <c r="U25" i="2"/>
  <c r="V25" i="2"/>
  <c r="W25" i="2"/>
  <c r="D25" i="2"/>
  <c r="C25" i="2"/>
  <c r="D15" i="2"/>
  <c r="E15" i="2"/>
  <c r="F15" i="2"/>
  <c r="G15" i="2"/>
  <c r="H15" i="2"/>
  <c r="I15" i="2"/>
  <c r="J15" i="2"/>
  <c r="K15" i="2"/>
  <c r="L15" i="2"/>
  <c r="M15" i="2"/>
  <c r="N15" i="2"/>
  <c r="O15" i="2"/>
  <c r="P15" i="2"/>
  <c r="Q15" i="2"/>
  <c r="R15" i="2"/>
  <c r="S15" i="2"/>
  <c r="T15" i="2"/>
  <c r="U15" i="2"/>
  <c r="V15" i="2"/>
  <c r="W15" i="2"/>
  <c r="C15" i="2"/>
  <c r="F14" i="2"/>
  <c r="G14" i="2"/>
  <c r="H14" i="2"/>
  <c r="I14" i="2"/>
  <c r="J14" i="2"/>
  <c r="K14" i="2"/>
  <c r="L14" i="2"/>
  <c r="M14" i="2"/>
  <c r="N14" i="2"/>
  <c r="O14" i="2"/>
  <c r="P14" i="2"/>
  <c r="Q14" i="2"/>
  <c r="R14" i="2"/>
  <c r="S14" i="2"/>
  <c r="T14" i="2"/>
  <c r="U14" i="2"/>
  <c r="V14" i="2"/>
  <c r="W14" i="2"/>
  <c r="E14" i="2"/>
  <c r="D14" i="2"/>
  <c r="C14" i="2"/>
  <c r="H9" i="2"/>
  <c r="H88" i="2" s="1"/>
  <c r="J9" i="2"/>
  <c r="J12" i="2" s="1"/>
  <c r="K9" i="2"/>
  <c r="K10" i="2" s="1"/>
  <c r="L9" i="2"/>
  <c r="L10" i="2" s="1"/>
  <c r="L89" i="2" s="1"/>
  <c r="M9" i="2"/>
  <c r="M10" i="2" s="1"/>
  <c r="Q9" i="2"/>
  <c r="Q10" i="2" s="1"/>
  <c r="T9" i="2"/>
  <c r="T88" i="2" s="1"/>
  <c r="V9" i="2"/>
  <c r="V88" i="2" s="1"/>
  <c r="W9" i="2"/>
  <c r="W10" i="2" s="1"/>
  <c r="W89" i="2" s="1"/>
  <c r="E9" i="2"/>
  <c r="E10" i="2" s="1"/>
  <c r="E89" i="2" s="1"/>
  <c r="D9" i="2"/>
  <c r="D10" i="2" s="1"/>
  <c r="L15" i="4"/>
  <c r="K15" i="4"/>
  <c r="I15" i="4"/>
  <c r="M14" i="4"/>
  <c r="L14" i="4"/>
  <c r="K14" i="4"/>
  <c r="P13" i="4"/>
  <c r="P14" i="4" s="1"/>
  <c r="O13" i="4"/>
  <c r="O14" i="4" s="1"/>
  <c r="N13" i="4"/>
  <c r="N15" i="4" s="1"/>
  <c r="M13" i="4"/>
  <c r="M15" i="4" s="1"/>
  <c r="L13" i="4"/>
  <c r="K13" i="4"/>
  <c r="J13" i="4"/>
  <c r="J14" i="4" s="1"/>
  <c r="I13" i="4"/>
  <c r="I14" i="4" s="1"/>
  <c r="H13" i="4"/>
  <c r="H15" i="4" s="1"/>
  <c r="G13" i="4"/>
  <c r="G15" i="4" s="1"/>
  <c r="F13" i="4"/>
  <c r="F14" i="4" s="1"/>
  <c r="E13" i="4"/>
  <c r="E14" i="4" s="1"/>
  <c r="D13" i="4"/>
  <c r="D14" i="4" s="1"/>
  <c r="C13" i="4"/>
  <c r="C14" i="4" s="1"/>
  <c r="B13" i="4"/>
  <c r="J15" i="4" s="1"/>
  <c r="C46" i="2"/>
  <c r="C22" i="5" l="1"/>
  <c r="E31" i="5"/>
  <c r="M39" i="2"/>
  <c r="L88" i="2"/>
  <c r="W88" i="2"/>
  <c r="V10" i="2"/>
  <c r="V11" i="2" s="1"/>
  <c r="J10" i="2"/>
  <c r="J11" i="2" s="1"/>
  <c r="T10" i="2"/>
  <c r="T28" i="2" s="1"/>
  <c r="H10" i="2"/>
  <c r="H28" i="2" s="1"/>
  <c r="Q12" i="2"/>
  <c r="Q91" i="2" s="1"/>
  <c r="N10" i="2"/>
  <c r="N28" i="2" s="1"/>
  <c r="N12" i="2"/>
  <c r="N91" i="2" s="1"/>
  <c r="Q89" i="2"/>
  <c r="Q28" i="2"/>
  <c r="D28" i="2"/>
  <c r="M28" i="2"/>
  <c r="C18" i="5"/>
  <c r="U9" i="2"/>
  <c r="I9" i="2"/>
  <c r="E28" i="2"/>
  <c r="L28" i="2"/>
  <c r="W28" i="2"/>
  <c r="K28" i="2"/>
  <c r="S9" i="2"/>
  <c r="G9" i="2"/>
  <c r="D12" i="2"/>
  <c r="D91" i="2" s="1"/>
  <c r="M12" i="2"/>
  <c r="M91" i="2" s="1"/>
  <c r="R9" i="2"/>
  <c r="R88" i="2" s="1"/>
  <c r="F9" i="2"/>
  <c r="F88" i="2" s="1"/>
  <c r="E12" i="2"/>
  <c r="E91" i="2" s="1"/>
  <c r="L12" i="2"/>
  <c r="L91" i="2" s="1"/>
  <c r="W12" i="2"/>
  <c r="W91" i="2" s="1"/>
  <c r="K12" i="2"/>
  <c r="K91" i="2" s="1"/>
  <c r="P9" i="2"/>
  <c r="P88" i="2" s="1"/>
  <c r="O9" i="2"/>
  <c r="V12" i="2"/>
  <c r="V91" i="2" s="1"/>
  <c r="K88" i="2"/>
  <c r="C9" i="2"/>
  <c r="T12" i="2"/>
  <c r="T91" i="2" s="1"/>
  <c r="H12" i="2"/>
  <c r="H91" i="2" s="1"/>
  <c r="C37" i="2"/>
  <c r="Q14" i="4"/>
  <c r="X25" i="2"/>
  <c r="J91" i="2"/>
  <c r="E11" i="2"/>
  <c r="E19" i="2" s="1"/>
  <c r="D18" i="2"/>
  <c r="N14" i="4"/>
  <c r="O15" i="4"/>
  <c r="P15" i="4"/>
  <c r="E15" i="4"/>
  <c r="H14" i="4"/>
  <c r="F15" i="4"/>
  <c r="C15" i="4"/>
  <c r="D15" i="4"/>
  <c r="G14" i="4"/>
  <c r="J88" i="2"/>
  <c r="E88" i="2"/>
  <c r="Q88" i="2"/>
  <c r="L18" i="2"/>
  <c r="L11" i="2"/>
  <c r="N88" i="2"/>
  <c r="D11" i="2"/>
  <c r="D88" i="2"/>
  <c r="Q11" i="2"/>
  <c r="E18" i="2"/>
  <c r="K18" i="2"/>
  <c r="W18" i="2"/>
  <c r="Q18" i="2"/>
  <c r="K89" i="2"/>
  <c r="M88" i="2"/>
  <c r="M11" i="2"/>
  <c r="D89" i="2"/>
  <c r="K11" i="2"/>
  <c r="W11" i="2"/>
  <c r="C27" i="5" l="1"/>
  <c r="C26" i="5"/>
  <c r="C49" i="2"/>
  <c r="D31" i="2"/>
  <c r="E23" i="2" s="1"/>
  <c r="E24" i="2" s="1"/>
  <c r="E31" i="2" s="1"/>
  <c r="F23" i="2" s="1"/>
  <c r="F24" i="2" s="1"/>
  <c r="V28" i="2"/>
  <c r="C31" i="2"/>
  <c r="D23" i="2" s="1"/>
  <c r="X9" i="2"/>
  <c r="J28" i="2"/>
  <c r="F10" i="2"/>
  <c r="F11" i="2" s="1"/>
  <c r="F90" i="2" s="1"/>
  <c r="F12" i="2"/>
  <c r="F91" i="2" s="1"/>
  <c r="R12" i="2"/>
  <c r="R91" i="2" s="1"/>
  <c r="R10" i="2"/>
  <c r="O10" i="2"/>
  <c r="O28" i="2" s="1"/>
  <c r="O12" i="2"/>
  <c r="O91" i="2" s="1"/>
  <c r="I10" i="2"/>
  <c r="I12" i="2"/>
  <c r="I91" i="2" s="1"/>
  <c r="I88" i="2"/>
  <c r="U88" i="2"/>
  <c r="U12" i="2"/>
  <c r="U91" i="2" s="1"/>
  <c r="U10" i="2"/>
  <c r="U18" i="2" s="1"/>
  <c r="P10" i="2"/>
  <c r="P12" i="2"/>
  <c r="P91" i="2" s="1"/>
  <c r="E20" i="2"/>
  <c r="C10" i="2"/>
  <c r="C12" i="2"/>
  <c r="C91" i="2" s="1"/>
  <c r="C88" i="2"/>
  <c r="G88" i="2"/>
  <c r="G10" i="2"/>
  <c r="G12" i="2"/>
  <c r="G91" i="2" s="1"/>
  <c r="O88" i="2"/>
  <c r="S88" i="2"/>
  <c r="S12" i="2"/>
  <c r="S91" i="2" s="1"/>
  <c r="S10" i="2"/>
  <c r="E90" i="2"/>
  <c r="J89" i="2"/>
  <c r="J18" i="2"/>
  <c r="N18" i="2"/>
  <c r="N89" i="2"/>
  <c r="N11" i="2"/>
  <c r="M90" i="2"/>
  <c r="M19" i="2"/>
  <c r="M18" i="2"/>
  <c r="M89" i="2"/>
  <c r="L90" i="2"/>
  <c r="L19" i="2"/>
  <c r="L20" i="2" s="1"/>
  <c r="H18" i="2"/>
  <c r="H89" i="2"/>
  <c r="H11" i="2"/>
  <c r="V19" i="2"/>
  <c r="V90" i="2"/>
  <c r="V89" i="2"/>
  <c r="V18" i="2"/>
  <c r="Q19" i="2"/>
  <c r="Q20" i="2" s="1"/>
  <c r="Q90" i="2"/>
  <c r="J19" i="2"/>
  <c r="J90" i="2"/>
  <c r="W90" i="2"/>
  <c r="W19" i="2"/>
  <c r="W20" i="2" s="1"/>
  <c r="D19" i="2"/>
  <c r="D20" i="2" s="1"/>
  <c r="D90" i="2"/>
  <c r="K90" i="2"/>
  <c r="K19" i="2"/>
  <c r="K20" i="2" s="1"/>
  <c r="T18" i="2"/>
  <c r="T89" i="2"/>
  <c r="T11" i="2"/>
  <c r="X26" i="2" l="1"/>
  <c r="F31" i="2"/>
  <c r="G23" i="2" s="1"/>
  <c r="O11" i="2"/>
  <c r="O19" i="2" s="1"/>
  <c r="X39" i="2"/>
  <c r="O89" i="2"/>
  <c r="J20" i="2"/>
  <c r="F19" i="2"/>
  <c r="X10" i="2"/>
  <c r="X88" i="2"/>
  <c r="U89" i="2"/>
  <c r="E27" i="2"/>
  <c r="E29" i="2" s="1"/>
  <c r="E33" i="2" s="1"/>
  <c r="E36" i="2" s="1"/>
  <c r="M27" i="2"/>
  <c r="S27" i="2"/>
  <c r="D27" i="2"/>
  <c r="D29" i="2" s="1"/>
  <c r="D33" i="2" s="1"/>
  <c r="D36" i="2" s="1"/>
  <c r="G27" i="2"/>
  <c r="W40" i="2"/>
  <c r="X40" i="2" s="1"/>
  <c r="V27" i="2"/>
  <c r="O27" i="2"/>
  <c r="C38" i="2"/>
  <c r="C97" i="2" s="1"/>
  <c r="F27" i="2"/>
  <c r="B14" i="3"/>
  <c r="B18" i="3" s="1"/>
  <c r="J27" i="2"/>
  <c r="K27" i="2"/>
  <c r="I27" i="2"/>
  <c r="T27" i="2"/>
  <c r="L27" i="2"/>
  <c r="H27" i="2"/>
  <c r="Q27" i="2"/>
  <c r="U27" i="2"/>
  <c r="W27" i="2"/>
  <c r="N27" i="2"/>
  <c r="R27" i="2"/>
  <c r="P27" i="2"/>
  <c r="C89" i="2"/>
  <c r="C18" i="2"/>
  <c r="C11" i="2"/>
  <c r="C28" i="2"/>
  <c r="C29" i="2" s="1"/>
  <c r="I18" i="2"/>
  <c r="I11" i="2"/>
  <c r="I28" i="2"/>
  <c r="I89" i="2"/>
  <c r="G18" i="2"/>
  <c r="G11" i="2"/>
  <c r="G28" i="2"/>
  <c r="G89" i="2"/>
  <c r="R89" i="2"/>
  <c r="R18" i="2"/>
  <c r="R28" i="2"/>
  <c r="R11" i="2"/>
  <c r="S28" i="2"/>
  <c r="S89" i="2"/>
  <c r="S11" i="2"/>
  <c r="S18" i="2"/>
  <c r="P11" i="2"/>
  <c r="P18" i="2"/>
  <c r="P28" i="2"/>
  <c r="P89" i="2"/>
  <c r="U11" i="2"/>
  <c r="U28" i="2"/>
  <c r="O18" i="2"/>
  <c r="F89" i="2"/>
  <c r="F18" i="2"/>
  <c r="F28" i="2"/>
  <c r="H90" i="2"/>
  <c r="H19" i="2"/>
  <c r="H20" i="2" s="1"/>
  <c r="T90" i="2"/>
  <c r="T19" i="2"/>
  <c r="T20" i="2" s="1"/>
  <c r="N19" i="2"/>
  <c r="N20" i="2" s="1"/>
  <c r="N90" i="2"/>
  <c r="V20" i="2"/>
  <c r="M20" i="2"/>
  <c r="G24" i="2" l="1"/>
  <c r="G31" i="2" s="1"/>
  <c r="F20" i="2"/>
  <c r="O90" i="2"/>
  <c r="B19" i="3"/>
  <c r="B21" i="3"/>
  <c r="X27" i="2"/>
  <c r="X18" i="2"/>
  <c r="O20" i="2"/>
  <c r="X28" i="2"/>
  <c r="F29" i="2"/>
  <c r="G90" i="2"/>
  <c r="G19" i="2"/>
  <c r="G20" i="2" s="1"/>
  <c r="P19" i="2"/>
  <c r="P20" i="2" s="1"/>
  <c r="P90" i="2"/>
  <c r="S90" i="2"/>
  <c r="S19" i="2"/>
  <c r="S20" i="2" s="1"/>
  <c r="I90" i="2"/>
  <c r="I19" i="2"/>
  <c r="I20" i="2" s="1"/>
  <c r="U90" i="2"/>
  <c r="U19" i="2"/>
  <c r="U20" i="2" s="1"/>
  <c r="X11" i="2"/>
  <c r="R90" i="2"/>
  <c r="R19" i="2"/>
  <c r="R20" i="2" s="1"/>
  <c r="C19" i="2"/>
  <c r="C20" i="2" s="1"/>
  <c r="C33" i="2" s="1"/>
  <c r="C36" i="2" s="1"/>
  <c r="C90" i="2"/>
  <c r="H23" i="2" l="1"/>
  <c r="H24" i="2" s="1"/>
  <c r="F33" i="2"/>
  <c r="F36" i="2" s="1"/>
  <c r="X19" i="2"/>
  <c r="X20" i="2"/>
  <c r="C41" i="2"/>
  <c r="D41" i="2" s="1"/>
  <c r="E41" i="2" s="1"/>
  <c r="C42" i="2"/>
  <c r="G29" i="2"/>
  <c r="H31" i="2" l="1"/>
  <c r="F41" i="2"/>
  <c r="G33" i="2"/>
  <c r="I23" i="2" l="1"/>
  <c r="I24" i="2" s="1"/>
  <c r="H29" i="2"/>
  <c r="H33" i="2" s="1"/>
  <c r="H36" i="2" s="1"/>
  <c r="G36" i="2"/>
  <c r="G41" i="2" l="1"/>
  <c r="H41" i="2" s="1"/>
  <c r="I31" i="2"/>
  <c r="J23" i="2" l="1"/>
  <c r="J24" i="2" s="1"/>
  <c r="I29" i="2"/>
  <c r="I33" i="2" s="1"/>
  <c r="I36" i="2" s="1"/>
  <c r="I41" i="2" s="1"/>
  <c r="J31" i="2" l="1"/>
  <c r="K23" i="2" l="1"/>
  <c r="K24" i="2" s="1"/>
  <c r="J29" i="2"/>
  <c r="J33" i="2" s="1"/>
  <c r="J36" i="2" s="1"/>
  <c r="J41" i="2" s="1"/>
  <c r="K31" i="2" l="1"/>
  <c r="K29" i="2"/>
  <c r="K33" i="2" s="1"/>
  <c r="K36" i="2" s="1"/>
  <c r="K41" i="2" s="1"/>
  <c r="L23" i="2" l="1"/>
  <c r="L24" i="2" s="1"/>
  <c r="L31" i="2" l="1"/>
  <c r="M23" i="2" l="1"/>
  <c r="M24" i="2" s="1"/>
  <c r="L29" i="2"/>
  <c r="L33" i="2" s="1"/>
  <c r="L36" i="2" s="1"/>
  <c r="L41" i="2" s="1"/>
  <c r="M31" i="2" l="1"/>
  <c r="N23" i="2" l="1"/>
  <c r="N24" i="2" s="1"/>
  <c r="M29" i="2"/>
  <c r="M33" i="2" s="1"/>
  <c r="M36" i="2" s="1"/>
  <c r="M41" i="2" s="1"/>
  <c r="N31" i="2" l="1"/>
  <c r="O23" i="2" l="1"/>
  <c r="O24" i="2" s="1"/>
  <c r="N29" i="2"/>
  <c r="N33" i="2" s="1"/>
  <c r="N36" i="2" s="1"/>
  <c r="N41" i="2" s="1"/>
  <c r="O31" i="2" l="1"/>
  <c r="P23" i="2" l="1"/>
  <c r="P24" i="2" s="1"/>
  <c r="O29" i="2"/>
  <c r="O33" i="2" s="1"/>
  <c r="O36" i="2" s="1"/>
  <c r="O41" i="2" s="1"/>
  <c r="P31" i="2" l="1"/>
  <c r="Q23" i="2" l="1"/>
  <c r="Q24" i="2" s="1"/>
  <c r="P29" i="2"/>
  <c r="P33" i="2" s="1"/>
  <c r="P36" i="2" s="1"/>
  <c r="P41" i="2" s="1"/>
  <c r="Q31" i="2" l="1"/>
  <c r="R23" i="2" l="1"/>
  <c r="R24" i="2" s="1"/>
  <c r="Q29" i="2"/>
  <c r="Q33" i="2" s="1"/>
  <c r="Q36" i="2" s="1"/>
  <c r="Q41" i="2" s="1"/>
  <c r="R31" i="2" l="1"/>
  <c r="R29" i="2"/>
  <c r="R33" i="2" s="1"/>
  <c r="R36" i="2" s="1"/>
  <c r="R41" i="2" s="1"/>
  <c r="S23" i="2" l="1"/>
  <c r="S24" i="2" s="1"/>
  <c r="S31" i="2" l="1"/>
  <c r="S29" i="2"/>
  <c r="T23" i="2" l="1"/>
  <c r="T24" i="2" s="1"/>
  <c r="S33" i="2"/>
  <c r="S36" i="2" l="1"/>
  <c r="S41" i="2" s="1"/>
  <c r="T31" i="2" l="1"/>
  <c r="T29" i="2"/>
  <c r="U23" i="2" l="1"/>
  <c r="U24" i="2" s="1"/>
  <c r="T33" i="2"/>
  <c r="T36" i="2" l="1"/>
  <c r="T41" i="2" s="1"/>
  <c r="U31" i="2" l="1"/>
  <c r="U29" i="2"/>
  <c r="V23" i="2" l="1"/>
  <c r="V24" i="2" s="1"/>
  <c r="U33" i="2"/>
  <c r="V31" i="2" l="1"/>
  <c r="W24" i="2" s="1"/>
  <c r="X24" i="2"/>
  <c r="V29" i="2"/>
  <c r="X23" i="2"/>
  <c r="Z38" i="2" s="1"/>
  <c r="U36" i="2"/>
  <c r="U41" i="2" s="1"/>
  <c r="W23" i="2" l="1"/>
  <c r="W29" i="2" s="1"/>
  <c r="W33" i="2" s="1"/>
  <c r="W36" i="2" s="1"/>
  <c r="W31" i="2"/>
  <c r="V33" i="2"/>
  <c r="X29" i="2" l="1"/>
  <c r="V36" i="2"/>
  <c r="V41" i="2" s="1"/>
  <c r="W41" i="2" s="1"/>
  <c r="B44" i="2" s="1"/>
  <c r="X33" i="2"/>
  <c r="W45" i="2" l="1"/>
  <c r="W38" i="2" s="1"/>
  <c r="N45" i="2"/>
  <c r="E45" i="2"/>
  <c r="E38" i="2" s="1"/>
  <c r="E97" i="2" s="1"/>
  <c r="I45" i="2"/>
  <c r="I38" i="2" s="1"/>
  <c r="I97" i="2" s="1"/>
  <c r="J45" i="2"/>
  <c r="J38" i="2" s="1"/>
  <c r="S45" i="2"/>
  <c r="S38" i="2" s="1"/>
  <c r="T45" i="2"/>
  <c r="T38" i="2" s="1"/>
  <c r="T97" i="2" s="1"/>
  <c r="U45" i="2"/>
  <c r="U38" i="2" s="1"/>
  <c r="V45" i="2"/>
  <c r="V38" i="2" s="1"/>
  <c r="F45" i="2"/>
  <c r="F38" i="2" s="1"/>
  <c r="O45" i="2"/>
  <c r="O38" i="2" s="1"/>
  <c r="G45" i="2"/>
  <c r="G38" i="2" s="1"/>
  <c r="P45" i="2"/>
  <c r="P38" i="2" s="1"/>
  <c r="H45" i="2"/>
  <c r="H38" i="2" s="1"/>
  <c r="Q45" i="2"/>
  <c r="Q38" i="2" s="1"/>
  <c r="R45" i="2"/>
  <c r="R38" i="2" s="1"/>
  <c r="K45" i="2"/>
  <c r="K38" i="2" s="1"/>
  <c r="L45" i="2"/>
  <c r="L38" i="2" s="1"/>
  <c r="M45" i="2"/>
  <c r="M38" i="2" s="1"/>
  <c r="D45" i="2"/>
  <c r="D38" i="2" s="1"/>
  <c r="N38" i="2"/>
  <c r="X36" i="2"/>
  <c r="P97" i="2" l="1"/>
  <c r="K97" i="2"/>
  <c r="H97" i="2"/>
  <c r="L97" i="2"/>
  <c r="S97" i="2"/>
  <c r="Q97" i="2"/>
  <c r="R97" i="2"/>
  <c r="N97" i="2"/>
  <c r="U97" i="2"/>
  <c r="M97" i="2"/>
  <c r="J97" i="2"/>
  <c r="F97" i="2"/>
  <c r="O97" i="2"/>
  <c r="W97" i="2"/>
  <c r="V97" i="2"/>
  <c r="G97" i="2"/>
  <c r="D46" i="2"/>
  <c r="E46" i="2" s="1"/>
  <c r="F46" i="2" s="1"/>
  <c r="G46" i="2" s="1"/>
  <c r="H46" i="2" s="1"/>
  <c r="I46" i="2" s="1"/>
  <c r="J46" i="2" s="1"/>
  <c r="K46" i="2" s="1"/>
  <c r="L46" i="2" s="1"/>
  <c r="M46" i="2" s="1"/>
  <c r="N46" i="2" s="1"/>
  <c r="O46" i="2" s="1"/>
  <c r="P46" i="2" s="1"/>
  <c r="Q46" i="2" s="1"/>
  <c r="R46" i="2" s="1"/>
  <c r="S46" i="2" s="1"/>
  <c r="T46" i="2" s="1"/>
  <c r="U46" i="2" s="1"/>
  <c r="V46" i="2" s="1"/>
  <c r="W46" i="2" s="1"/>
  <c r="D49" i="2" l="1"/>
  <c r="E49" i="2" s="1"/>
  <c r="F49" i="2" s="1"/>
  <c r="G49" i="2" s="1"/>
  <c r="H49" i="2" s="1"/>
  <c r="I49" i="2" s="1"/>
  <c r="J49" i="2" s="1"/>
  <c r="K49" i="2" s="1"/>
  <c r="L49" i="2" s="1"/>
  <c r="M49" i="2" s="1"/>
  <c r="N49" i="2" s="1"/>
  <c r="O49" i="2" s="1"/>
  <c r="P49" i="2" s="1"/>
  <c r="Q49" i="2" s="1"/>
  <c r="R49" i="2" s="1"/>
  <c r="S49" i="2" s="1"/>
  <c r="T49" i="2" s="1"/>
  <c r="U49" i="2" s="1"/>
  <c r="V49" i="2" s="1"/>
  <c r="W49" i="2" s="1"/>
  <c r="AA38" i="2" s="1"/>
  <c r="X38" i="2"/>
  <c r="D97" i="2"/>
  <c r="X97" i="2" s="1"/>
  <c r="D42" i="2"/>
  <c r="E42" i="2" s="1"/>
  <c r="F42" i="2" s="1"/>
  <c r="G42" i="2" s="1"/>
  <c r="H42" i="2" s="1"/>
  <c r="I42" i="2" s="1"/>
  <c r="J42" i="2" s="1"/>
  <c r="K42" i="2" s="1"/>
  <c r="L42" i="2" s="1"/>
  <c r="M42" i="2" s="1"/>
  <c r="N42" i="2" s="1"/>
  <c r="O42" i="2" s="1"/>
  <c r="P42" i="2" s="1"/>
  <c r="Q42" i="2" s="1"/>
  <c r="R42" i="2" s="1"/>
  <c r="S42" i="2" s="1"/>
  <c r="T42" i="2" s="1"/>
  <c r="U42" i="2" s="1"/>
  <c r="V42" i="2" s="1"/>
  <c r="W42" i="2" s="1"/>
  <c r="Y3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UB</author>
    <author>Ulrich Boeke</author>
    <author>dep07477</author>
  </authors>
  <commentList>
    <comment ref="C8" authorId="0" shapeId="0" xr:uid="{2FFA0314-3DB3-4B4D-BB80-0858A878B715}">
      <text>
        <r>
          <rPr>
            <b/>
            <sz val="9"/>
            <color indexed="81"/>
            <rFont val="Tahoma"/>
            <family val="2"/>
          </rPr>
          <t>Ulrich Boeke:</t>
        </r>
        <r>
          <rPr>
            <sz val="9"/>
            <color indexed="81"/>
            <rFont val="Tahoma"/>
            <family val="2"/>
          </rPr>
          <t xml:space="preserve">
Das Jahr "0" ist das Jahr der Installation. Hier wird berücksichtigt, dass 70 % des Solarstromertrags eines durchschnittlichen Jahres im Jahr der Installation erzeugt werden können. Dies entspricht einem Netzanschluss im Mai.</t>
        </r>
      </text>
    </comment>
    <comment ref="A25" authorId="1" shapeId="0" xr:uid="{BFCCFAC2-006A-47BB-995D-3DFEF0EEB62B}">
      <text>
        <r>
          <rPr>
            <b/>
            <sz val="9"/>
            <color indexed="81"/>
            <rFont val="Tahoma"/>
            <family val="2"/>
          </rPr>
          <t>Ulrich Boeke:</t>
        </r>
        <r>
          <rPr>
            <sz val="9"/>
            <color indexed="81"/>
            <rFont val="Tahoma"/>
            <family val="2"/>
          </rPr>
          <t xml:space="preserve">
Dies ist die aktuell zulässige Preisobergrenze für moderne Messeinrichtungen der Bundesnetzagentur.</t>
        </r>
      </text>
    </comment>
    <comment ref="A27" authorId="2" shapeId="0" xr:uid="{33DF9919-A0B2-4727-88B8-8D3044964E2B}">
      <text>
        <r>
          <rPr>
            <b/>
            <sz val="9"/>
            <color indexed="81"/>
            <rFont val="Tahoma"/>
            <family val="2"/>
          </rPr>
          <t>Ulrich Boeke:</t>
        </r>
        <r>
          <rPr>
            <sz val="9"/>
            <color indexed="81"/>
            <rFont val="Tahoma"/>
            <family val="2"/>
          </rPr>
          <t xml:space="preserve">
Diese Rückstellungen bilden eine finanzielle Reserve um nach 10 Jahren einen defelten Solarwechselrichter austauschen zu lassen und um nach 20 Jahren die Solarstromanlagen demontieren und entsorgen zu lassen.
Die Rückstellungen werden auf das Verrechnungskonto eingezahlt.</t>
        </r>
      </text>
    </comment>
    <comment ref="A28" authorId="1" shapeId="0" xr:uid="{49A5A201-1C9D-4AE4-8ECA-1D2832277D14}">
      <text>
        <r>
          <rPr>
            <b/>
            <sz val="9"/>
            <color indexed="81"/>
            <rFont val="Tahoma"/>
            <family val="2"/>
          </rPr>
          <t>Ulrich Boeke:</t>
        </r>
        <r>
          <rPr>
            <sz val="9"/>
            <color indexed="81"/>
            <rFont val="Tahoma"/>
            <family val="2"/>
          </rPr>
          <t xml:space="preserve">
19 % Umsatzsteuer auf den Eigenverbrauch werden
- nicht fällig, wenn Sie die Solarstromanlage entsprechend der Kleinunternehmerregelung privat betreiben
- fällig, wenn Sie die Solarstromanlagen als Firma betreiben und Solarstrom von dieser Firma an sich für den privaten Eigenverbrauch verkaufen.</t>
        </r>
      </text>
    </comment>
    <comment ref="AA38" authorId="1" shapeId="0" xr:uid="{35436E03-7233-4C23-BE31-C95AA72D9A1A}">
      <text>
        <r>
          <rPr>
            <b/>
            <sz val="9"/>
            <color indexed="81"/>
            <rFont val="Tahoma"/>
            <family val="2"/>
          </rPr>
          <t>Ulrich Boeke:</t>
        </r>
        <r>
          <rPr>
            <sz val="9"/>
            <color indexed="81"/>
            <rFont val="Tahoma"/>
            <family val="2"/>
          </rPr>
          <t xml:space="preserve">
Preis = Kosten + Profit</t>
        </r>
      </text>
    </comment>
    <comment ref="M39" authorId="1" shapeId="0" xr:uid="{62114F3E-E614-42D2-A4AB-8C5D347C7AFA}">
      <text>
        <r>
          <rPr>
            <b/>
            <sz val="9"/>
            <color indexed="81"/>
            <rFont val="Tahoma"/>
            <family val="2"/>
          </rPr>
          <t>Ulrich Boeke:</t>
        </r>
        <r>
          <rPr>
            <sz val="9"/>
            <color indexed="81"/>
            <rFont val="Tahoma"/>
            <family val="2"/>
          </rPr>
          <t xml:space="preserve">
20% des Kaufpreises werden als Kosten für den Austausch des Solarwechselrichter nach 10 Jahren Betriebszeit berücksichtigt</t>
        </r>
      </text>
    </comment>
    <comment ref="A41" authorId="1" shapeId="0" xr:uid="{0E4DA615-0227-4AA8-8505-A30E47704C8A}">
      <text>
        <r>
          <rPr>
            <b/>
            <sz val="9"/>
            <color indexed="81"/>
            <rFont val="Tahoma"/>
            <family val="2"/>
          </rPr>
          <t>Ulrich Boeke:</t>
        </r>
        <r>
          <rPr>
            <sz val="9"/>
            <color indexed="81"/>
            <rFont val="Tahoma"/>
            <family val="2"/>
          </rPr>
          <t xml:space="preserve">
Diese Zeile ist eine Zwischenrechnung zur Brechnung der mittleren Entnahmerate im Feld B40</t>
        </r>
      </text>
    </comment>
    <comment ref="A45" authorId="1" shapeId="0" xr:uid="{9D099044-CDEA-436F-9E08-3E47DF95F70F}">
      <text>
        <r>
          <rPr>
            <b/>
            <sz val="9"/>
            <color indexed="81"/>
            <rFont val="Tahoma"/>
            <family val="2"/>
          </rPr>
          <t>Ulrich Boeke:</t>
        </r>
        <r>
          <rPr>
            <sz val="9"/>
            <color indexed="81"/>
            <rFont val="Tahoma"/>
            <family val="2"/>
          </rPr>
          <t xml:space="preserve">
Diese Korrektur der Entnahmerate ist erforderlich, weil berücksichtigt wird, dass der Solarwechselrichter nicht am Ende des Geschäftsmodells ersetzt wird, sondern bereits nach der halben Dauer des Geschäftsmodells.</t>
        </r>
      </text>
    </comment>
    <comment ref="C87" authorId="0" shapeId="0" xr:uid="{F62EF203-F315-4F7C-883A-EB9F59F50649}">
      <text>
        <r>
          <rPr>
            <b/>
            <sz val="9"/>
            <color indexed="81"/>
            <rFont val="Tahoma"/>
            <family val="2"/>
          </rPr>
          <t>Ulrich Boeke:</t>
        </r>
        <r>
          <rPr>
            <sz val="9"/>
            <color indexed="81"/>
            <rFont val="Tahoma"/>
            <family val="2"/>
          </rPr>
          <t xml:space="preserve">
Consideration: 
70% of an average annual energy generation year in the year of installation. This corresponds to a first grid connection in May.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Ulrich Boeke</author>
  </authors>
  <commentList>
    <comment ref="Q6" authorId="0" shapeId="0" xr:uid="{9B4C5BCD-DC64-4B12-915E-8075F7E82229}">
      <text>
        <r>
          <rPr>
            <b/>
            <sz val="9"/>
            <color indexed="81"/>
            <rFont val="Tahoma"/>
            <family val="2"/>
          </rPr>
          <t>Ulrich Boeke:</t>
        </r>
        <r>
          <rPr>
            <sz val="9"/>
            <color indexed="81"/>
            <rFont val="Tahoma"/>
            <family val="2"/>
          </rPr>
          <t xml:space="preserve">
Achtung, die Strompreise waren 2023 durch verschiedene Effekte sehr gestört. Wir berücksichtigen den Strompreis entsprechend dem Strompreisdeckel für Privatkunden für Bestandskunden.
Neukunden zahlen leider deutlich höhere Preise.</t>
        </r>
      </text>
    </comment>
    <comment ref="R9" authorId="0" shapeId="0" xr:uid="{83268F33-376E-469D-93E0-0839D164346E}">
      <text>
        <r>
          <rPr>
            <b/>
            <sz val="9"/>
            <color indexed="81"/>
            <rFont val="Tahoma"/>
            <charset val="1"/>
          </rPr>
          <t>Ulrich Boeke:</t>
        </r>
        <r>
          <rPr>
            <sz val="9"/>
            <color indexed="81"/>
            <rFont val="Tahoma"/>
            <charset val="1"/>
          </rPr>
          <t xml:space="preserve">
Nur in Verbidung mit einem überdurchschnitlich hohem monatlichen Grundpreises von 16,89 Euro. 
Daher für die Zeile 13 nicht ausgewählt.</t>
        </r>
      </text>
    </comment>
    <comment ref="R10" authorId="0" shapeId="0" xr:uid="{44ADA5FD-83F9-42AD-B932-969C2DEB22F3}">
      <text>
        <r>
          <rPr>
            <b/>
            <sz val="9"/>
            <color indexed="81"/>
            <rFont val="Tahoma"/>
            <charset val="1"/>
          </rPr>
          <t>Ulrich Boeke:</t>
        </r>
        <r>
          <rPr>
            <sz val="9"/>
            <color indexed="81"/>
            <rFont val="Tahoma"/>
            <charset val="1"/>
          </rPr>
          <t xml:space="preserve">
11,90 Euro monatlicher Grundpreis</t>
        </r>
      </text>
    </comment>
    <comment ref="A11" authorId="0" shapeId="0" xr:uid="{203C3993-5165-4C86-B159-21B0C966D710}">
      <text>
        <r>
          <rPr>
            <b/>
            <sz val="9"/>
            <color indexed="81"/>
            <rFont val="Tahoma"/>
            <family val="2"/>
          </rPr>
          <t>Ulrich Boeke:</t>
        </r>
        <r>
          <rPr>
            <sz val="9"/>
            <color indexed="81"/>
            <rFont val="Tahoma"/>
            <family val="2"/>
          </rPr>
          <t xml:space="preserve">
Dieser Strompreis Tarif wird am 2017 angeboten.
Grünstromwerk ist eine Tochter der Naturstrom AG.</t>
        </r>
      </text>
    </comment>
  </commentList>
</comments>
</file>

<file path=xl/sharedStrings.xml><?xml version="1.0" encoding="utf-8"?>
<sst xmlns="http://schemas.openxmlformats.org/spreadsheetml/2006/main" count="229" uniqueCount="162">
  <si>
    <t>Achtung: Die Langerweher Umwelt- und Naturschutz Aktion e.V. kann keine Haftung für die wirtschaftlichen Erfolg von Investitionen in Solarstromanlagen übernehmen.</t>
  </si>
  <si>
    <t>Die Zahlen in dieser Tabellenkalkulations Datei sind daher nur als Beispiel zu verstehen.</t>
  </si>
  <si>
    <t>Details</t>
  </si>
  <si>
    <t>Nennleistung</t>
  </si>
  <si>
    <t>kWp</t>
  </si>
  <si>
    <t>Spezifischer Stromertrag</t>
  </si>
  <si>
    <t>kWh/kWp</t>
  </si>
  <si>
    <t>Degradation der Solarmodule je Jahr</t>
  </si>
  <si>
    <t>%/a</t>
  </si>
  <si>
    <t>0,5 %/Jahr bei monokristallienen Solarzellen; 1,0 % bei polykristallinen Solarzellen</t>
  </si>
  <si>
    <t>€/kWh</t>
  </si>
  <si>
    <t>Jährlicher Anstig des Strompreises</t>
  </si>
  <si>
    <t>€/kWp</t>
  </si>
  <si>
    <t>€</t>
  </si>
  <si>
    <t>Eigenkapital</t>
  </si>
  <si>
    <t>%</t>
  </si>
  <si>
    <t>Ein Wert kleiner als 100% definiert eine Teilfinanzierung mit einem Bankdarlehen in Zeile 21.</t>
  </si>
  <si>
    <t>Betrieb der Solarstromanlage privat oder als als Firma z.B. GBR</t>
  </si>
  <si>
    <t>Fremdfinanzierung</t>
  </si>
  <si>
    <t>Kredit</t>
  </si>
  <si>
    <t>Auszahlung</t>
  </si>
  <si>
    <t>Zinssatz</t>
  </si>
  <si>
    <t>Tilgungsfreie Zeit</t>
  </si>
  <si>
    <t>Jahre</t>
  </si>
  <si>
    <t>Kosten für Zähler und Messstellenbetrieb pro Jahr</t>
  </si>
  <si>
    <t>Kosten für Versicherung pro Jahr</t>
  </si>
  <si>
    <t>des Kaufpreises in Feld C16</t>
  </si>
  <si>
    <t>Rückstellungen für Wechselrichtertausch nach 10 Jahren</t>
  </si>
  <si>
    <t>Rückstellungen für den Abbau der kompletten Solarstromanlage nach 20 Jahren</t>
  </si>
  <si>
    <t>Dauer des Geschäftsmodells</t>
  </si>
  <si>
    <t>Jahre plus das Jahr der Installation</t>
  </si>
  <si>
    <t>Alle Daten und Diagramme in den Zeilen 7 - 89 werden automatisch berechnet.</t>
  </si>
  <si>
    <t>In den Zeilen 90 - 96 können gemessene Daten aus dem Anlagenbetrieb eingegeben werden, um sie mit den berechneten Werten zu vergleichen. Unterschiede ergeben sich zum Beispiel durch die Schwankungen des Wetters.</t>
  </si>
  <si>
    <t>Jahr</t>
  </si>
  <si>
    <t>SUMME</t>
  </si>
  <si>
    <t>Jährliche Stromerzeugung</t>
  </si>
  <si>
    <t>kWh/Year</t>
  </si>
  <si>
    <t>Davon Eigenverbrauch</t>
  </si>
  <si>
    <t>Davon Netzeinspeisung</t>
  </si>
  <si>
    <t>spezifische Stromerzeugung</t>
  </si>
  <si>
    <t>EEG Einspeisevergütung</t>
  </si>
  <si>
    <t>Einnahmen</t>
  </si>
  <si>
    <t>aus selbstverbrauchtem Solarstrom</t>
  </si>
  <si>
    <t>aus Stromverkauf in das öffentliche Netz</t>
  </si>
  <si>
    <t>Gesamteinnahmen</t>
  </si>
  <si>
    <t>Ausgaben</t>
  </si>
  <si>
    <t>Kreditzinsen</t>
  </si>
  <si>
    <t>Tilgung</t>
  </si>
  <si>
    <t>Zähler und Messstellenbetrieb</t>
  </si>
  <si>
    <t>Versicherung</t>
  </si>
  <si>
    <t>Rückstellungen für Reparaturen &amp; Abbau</t>
  </si>
  <si>
    <t>Umsatzsteuer auf Eigenverbrauch</t>
  </si>
  <si>
    <t>Gesamtausgaben</t>
  </si>
  <si>
    <t>Kredit Restschuld</t>
  </si>
  <si>
    <t>Ergebnis</t>
  </si>
  <si>
    <t>Verrechnungskonto</t>
  </si>
  <si>
    <t>Einzahlungen aus dem Betrieb</t>
  </si>
  <si>
    <t>Überschuss</t>
  </si>
  <si>
    <t>Solarstrom Preis</t>
  </si>
  <si>
    <t>Entnahmen für Auszahlungen</t>
  </si>
  <si>
    <t>Kontostand am Jahresende mit Auszahlungen</t>
  </si>
  <si>
    <t>Mittlere Entnahmerate</t>
  </si>
  <si>
    <t>Gesamtentnahme</t>
  </si>
  <si>
    <t>Investitionsverlauf</t>
  </si>
  <si>
    <t>Euro</t>
  </si>
  <si>
    <t>Vergleich des Geschäftsmodels mit Betriebsdaten</t>
  </si>
  <si>
    <t>SUM</t>
  </si>
  <si>
    <t>Berechnete Stromerzeugung</t>
  </si>
  <si>
    <t>kWh/Jear</t>
  </si>
  <si>
    <t>Gemessene Stromerzeugung</t>
  </si>
  <si>
    <t>Berechnete Entnahmen</t>
  </si>
  <si>
    <t>Realisierte Entnahmen</t>
  </si>
  <si>
    <t>Vergleich der spezifischen Solarstromproduction in kWh/kWp</t>
  </si>
  <si>
    <t>Vergleich der Entnahmen in Euro</t>
  </si>
  <si>
    <t>Rückzahlung der Umsatzsteuer auf den Kaufpreis nur bei bei Regelbesteuerung (Option 4)</t>
  </si>
  <si>
    <t xml:space="preserve">Entnahme für den Abbau der PV Anlage </t>
  </si>
  <si>
    <t xml:space="preserve">Kontostand am Jahresende ohne Auszahlungen </t>
  </si>
  <si>
    <t>Annuitaetenrechner</t>
  </si>
  <si>
    <t>In Abhängigkeit von: Investitionssumme, Tilgungszeit und Zinssatz kann die jährliche Annuität berechnet werden. Die Annuität ist eine konstante jährlich Zahlung an den Kreditgeber, die sich aus jährlicher Tilgung und absoluten jährlichen Zins zusammensetzt.</t>
  </si>
  <si>
    <t>Der absolut zu zahlende Zins sinkt von Jahr zu Jahr, weil jedes Jahr ein Teil der Investitiossumme getilgt also zurückbezahl wird. Als Folge kann jedes Jahr etwas mehr getilgt werden.</t>
  </si>
  <si>
    <t xml:space="preserve">Quelle für die Berechnung im Feld B18:  http://de.wikipedia.org/wiki/Annuit%C3%A4tendarlehen  </t>
  </si>
  <si>
    <t>Vorgehensweise:</t>
    <phoneticPr fontId="0" type="noConversion"/>
  </si>
  <si>
    <t>Im Feld B14 wird automatisch der Kaufpreis der PV Anlage eingetragen.</t>
  </si>
  <si>
    <t>Die Laufzeit des Geschäftsmodells wird in Feld B15 eingetragen ohne das Jahr der Installation.</t>
  </si>
  <si>
    <t xml:space="preserve">Der Zinssatz im Feld B16 wird von Hand so eingestellt, dass die berechnete Annuität im Feld B18 dem Wert in Feld B44 auf dem Blatt "Modeldaten" entspricht. </t>
  </si>
  <si>
    <t>Der Zinsatz im Feld B16 entspricht der effektiven Verzinsung der Investion in die PV Anlagen.</t>
  </si>
  <si>
    <t>Hinweis:</t>
  </si>
  <si>
    <t>Diese Berechnungsart setzt eine konstante jährlich Annuität der PV Anlage vorraus. Die Verzinsung des eingesetzten Kapitals in eine PV Anlagen ist aufwändiger, wenn die Anlagen mit Eigenkapital und einem Bankdarlehen finanziert wird. Dies resultiert in variable Annuitäten über die Laufzeit für den Investor.</t>
  </si>
  <si>
    <t>Kreditsumme</t>
  </si>
  <si>
    <t>Laufzeit</t>
  </si>
  <si>
    <t>Das Jahr der Installation wird nicht berücksichtigt, weil in diesem Jahr keine Ausschüttungen erfolgen.</t>
  </si>
  <si>
    <r>
      <t xml:space="preserve">Dieser Wert </t>
    </r>
    <r>
      <rPr>
        <b/>
        <sz val="10"/>
        <rFont val="Arial"/>
        <family val="2"/>
      </rPr>
      <t>muss von Hand so justiert werden</t>
    </r>
    <r>
      <rPr>
        <sz val="10"/>
        <rFont val="Arial"/>
        <family val="2"/>
      </rPr>
      <t>, dass die jährliche Annuität im Feld B19 der mittleren Entnahme des Feldes B44 im Blatt "Geschäftsmodell" entspricht.</t>
    </r>
  </si>
  <si>
    <t>Jährliche Annuität</t>
  </si>
  <si>
    <t>Summe aller Annuitäten</t>
  </si>
  <si>
    <t>Strompreisentwicklung von Ökostrom für Privatkunden der klassischen Ökostromanbieter in Langerwehe in Cent/kWh</t>
  </si>
  <si>
    <t>Diese Übersicht soll die Entwicklung des Wertes für den Solarstrom Eigenverbrauch für private Stromverbraucher geben, sowie eine Information für den mittleren relative Strompreisanstieg in der Vergangenheit.</t>
  </si>
  <si>
    <t>Diese Daten werden im Blatt "Modelldaten" in den Zeilen 11 und 12 benötigt.</t>
  </si>
  <si>
    <t>Der monatliche Grundpreis für die Stromversorgung wird dabei nicht berücksichtigt.</t>
  </si>
  <si>
    <t>Elektrizitätswerke Schönau</t>
  </si>
  <si>
    <t>Lichtblick</t>
  </si>
  <si>
    <t>40.87</t>
  </si>
  <si>
    <t>Naturstrom AG</t>
  </si>
  <si>
    <t>39.90</t>
  </si>
  <si>
    <t>Grünstromwerk Regionalstrom Düren</t>
  </si>
  <si>
    <t>25,99</t>
  </si>
  <si>
    <t>Günstigster Preis in Cent/kWh</t>
  </si>
  <si>
    <t>jählicher Preisanstieg für den günstigsten Preis</t>
  </si>
  <si>
    <t>mittlerer Preisanstieg pro Jahr seit 2008</t>
  </si>
  <si>
    <t>Diagramm:</t>
  </si>
  <si>
    <t xml:space="preserve"> Blaue Säulen zeigen den jährlichen Preisanstieg für den günstigsten Preis </t>
  </si>
  <si>
    <t xml:space="preserve"> Rote Säulen zeigen den mittleren Preisanstieg für den günstigsten Preis pro Jahr seit 2008</t>
  </si>
  <si>
    <t>Informationen zu den Änderungen zwischen den verschiedenen Exceltabellen Versionen</t>
  </si>
  <si>
    <t>Version</t>
  </si>
  <si>
    <t>Kommentare</t>
  </si>
  <si>
    <t>Basisversion für den Vergleich</t>
  </si>
  <si>
    <t>Korrektur der Gleichung für das Feld Geschäftsmodell!X25</t>
  </si>
  <si>
    <t>Die Einspeisevergütung im Feld "Modelldaten C10" ist reduziert worden. Der Referenzstrompreis im Feld "Modelldaten C11" ist für 2019 um 1 ct/kWh angehoben worden.</t>
  </si>
  <si>
    <t>Die Einspeisevergütung im Feld "Modelldaten C10" ist reduziert worden. Der Referenzstrompreis im Feld "Modelldaten C11" ist für 2020 um 1 ct/kWh angehoben worden.</t>
  </si>
  <si>
    <t>Die Einspeisevergütung im Feld "Modelldaten C10" ist reduziert worden. Der Referenzstrompreis im Feld "Modelldaten C11" ist für 2021 um 0.5 ct/kWh angehoben worden.</t>
  </si>
  <si>
    <t>Die Einspeisevergütung im Feld "Modelldaten C10" ist reduziert worden. Der Anlagenpreis "Modelldaten C15" ist 2022 gestiegen.</t>
  </si>
  <si>
    <t>Danksagung</t>
  </si>
  <si>
    <t>Ulrich Böke</t>
  </si>
  <si>
    <t>Die Berechnung des erwarteten Geschäftsmodells im Blatt "Geschäftsmodell" erfolgt nun automatisch. Die mittlere Entnahmerate im Feld B42 mus nicht mehr von Hand justiert werden. Nur die tatsächlich gemessenen Werte für die jährliche  Solarstromerzeugung sowie die jährliche Entnahme von Geld aus dem tatsächlichen Geschäft kann von Hand eingegeben werden, wenn ein Vergleich mit dem berechneten Geschäftsmodell gewünscht ist. Das Blatt "Strompreisentwicklung" ist zugefügt worden.</t>
  </si>
  <si>
    <t>Umwandlung des alten ".xls" Datei Formats in das ".xlsx" Datei Format</t>
  </si>
  <si>
    <t xml:space="preserve">Bei der Überarbeitung dieser Excel Datei zur Brechnung des Geschäftsmodells von Solarstromanlagen in 2018 bedanke ich mich für  Anregungen von Frau Susanne Jung von Solarenergie Förderverein Deutschland e.V. und bei Lothar Kurth vom BUND Inden/Langerwehe. </t>
  </si>
  <si>
    <t>Fehlerhafte Links in Graphiken korrigiert</t>
  </si>
  <si>
    <t>siehe Blatt 4 "Strompreisentwicklung"</t>
  </si>
  <si>
    <t>Viele Preiskomponenten sind für 2023 angehoben worden. Die Strompreisentwicklung ist 2023 außergewöhnlich.</t>
  </si>
  <si>
    <r>
      <t xml:space="preserve">Spezifischer Kaufpreis </t>
    </r>
    <r>
      <rPr>
        <b/>
        <sz val="11"/>
        <color theme="1"/>
        <rFont val="Calibri"/>
        <family val="2"/>
        <scheme val="minor"/>
      </rPr>
      <t>mit 0 % Umsatzsteuer</t>
    </r>
  </si>
  <si>
    <r>
      <t xml:space="preserve">Gesamtkaufpreis </t>
    </r>
    <r>
      <rPr>
        <b/>
        <sz val="11"/>
        <color theme="1"/>
        <rFont val="Calibri"/>
        <family val="2"/>
        <scheme val="minor"/>
      </rPr>
      <t>mit 0 % Umsatzsteuer</t>
    </r>
  </si>
  <si>
    <t>mindestens aber 80 €</t>
  </si>
  <si>
    <t>Solarstrom Kosten</t>
  </si>
  <si>
    <t>Wirtschaftlichkeitsberechnung für eine 214 MW Photovoltaikanlage (0 % Eigenverbrauch, 21 Jahre Betrieb, Netzanschluss März 2023)</t>
  </si>
  <si>
    <t>Direktvermarktungspreis</t>
  </si>
  <si>
    <t>Eigentlich ist es weniger, weil die Anlage länger abreiten kann als 20 Jahre.</t>
  </si>
  <si>
    <t>Annuität für das Darlehen (in Prozent)</t>
  </si>
  <si>
    <t>Annuität für das Darlehen (in Euro pro Jahr)</t>
  </si>
  <si>
    <t>Manche Kredite habe ein Auszahlung kleiner 100%. Ein Teil der Zinsen werden so "vorweg gezahlt".</t>
  </si>
  <si>
    <t>Investitionsverlauf ohne Kredit</t>
  </si>
  <si>
    <t xml:space="preserve">Entnahmen von Rückstellungen für neue Wechselrichter </t>
  </si>
  <si>
    <t xml:space="preserve">Alle Zahlen in blauer Farbe müssen an das eigene Projekt angepasst werden. </t>
  </si>
  <si>
    <t>Alle Zahlen in schwarzer Farbe stehen fest oder werden berechnet.</t>
  </si>
  <si>
    <t xml:space="preserve">Tilgung des Kredites in </t>
  </si>
  <si>
    <t>Jahren</t>
  </si>
  <si>
    <t>Für diesen Zeitraum wird ein konstanter Kreditzins berücksichtigt.</t>
  </si>
  <si>
    <t>Entnahmerate korrigiert um Rückstellungen für den Wechselrichtertausch, die Kreditzinsen und den Einfluss der Inflation auf zunehmende Einnahmen.</t>
  </si>
  <si>
    <t>EEG Einspeisevergütung bis 10 kWp</t>
  </si>
  <si>
    <t>Eigenverbrauchsanteil</t>
  </si>
  <si>
    <t>Die hier berechnete Summe aller Auszahlungen muss im Blatt "Geschäftsmodel" mit dem Feld X38 übereinstimmen.</t>
  </si>
  <si>
    <t>Seite "Geschäftsmodel", Zeile 45: Einfluss der Inflation auf die Einnahmen berücksichtigt. Kopplung C17/C21. Geschäftsmodel Zeile C39 geändert.</t>
  </si>
  <si>
    <t>Eingabemöglichkeiten:                                                                                                                                                                                            "0" Sie betreiben die Solarstromanlage privat und nicht als Firma, steuerlich als Kleinunternehmer                                    "1" Sie betreiben die Solarstromanlage als Firma, steuerrechtlich mit Regelbesteuerung</t>
  </si>
  <si>
    <t>Das Jahr "0"und "1" auf der nächsten Seite "Geschäftsmodel".</t>
  </si>
  <si>
    <t xml:space="preserve">Quelle: http://de.wikipedia.org/wiki/Annuit%C3%A4tendarlehen  </t>
  </si>
  <si>
    <t>Green Planet Energy (Greenpeace Energy)</t>
  </si>
  <si>
    <t>Naturstrom AG im Januar 2024 (siehe Blatt 4 "Strompreisentwicklung")</t>
  </si>
  <si>
    <t>Bei einer Inbetriebnahme im Februar - Juli 2024. Die Bundesnetzagentur und der Solarenergie Förderverein informieren hierüber. https://www.sfv.de/eeg-verguetungen</t>
  </si>
  <si>
    <t>Modelldaten und Strompreisentwicklung für 2024 angepasst</t>
  </si>
  <si>
    <t>Bei Eigenverbrauch vermiedener Strompreis in 2024</t>
  </si>
  <si>
    <t>Der Käufer bezahlt die Solarstromanlage beim Installateur mit Umsatzsteuer. Die Umsatzsteuer für den Kauf von Solarstromanlagen liegt in 2024 bei 0 %.</t>
  </si>
  <si>
    <t>Wirtschaftlichkeitsberechnung für eine 6,7 kW Photovoltaikanlage (25 % Eigenverbrauch, 21 Jahre Betrieb, Netzanschluss März 2024)</t>
  </si>
  <si>
    <t>16 Photovoltaik Module a 420 Wp (Glas-Glas Module mit monokristallinen Solarzellen), 32 m2 Fläche</t>
  </si>
  <si>
    <t>950 kWh/(kWp*Jahr) bei einer verschattungsfrei nach Süden ausgerichteten Anlage,                                                                    860 kWh/(kWp*Jahr) bei einer aufgeteilten und verschattungsfrei nach Ost und West ausgerichteten Anlage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</si>
</sst>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19">
    <font>
      <sz val="11"/>
      <color theme="1"/>
      <name val="Calibri"/>
      <family val="2"/>
      <scheme val="minor"/>
    </font>
    <font>
      <b/>
      <sz val="11"/>
      <color theme="1"/>
      <name val="Calibri"/>
      <family val="2"/>
      <scheme val="minor"/>
    </font>
    <font>
      <b/>
      <sz val="10"/>
      <name val="Arial"/>
      <family val="2"/>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i/>
      <sz val="10"/>
      <color indexed="8"/>
      <name val="Arial"/>
      <family val="2"/>
    </font>
    <font>
      <b/>
      <sz val="12"/>
      <color indexed="8"/>
      <name val="Albany"/>
      <family val="2"/>
    </font>
    <font>
      <b/>
      <sz val="12"/>
      <color indexed="8"/>
      <name val="Arial"/>
      <family val="2"/>
    </font>
    <font>
      <u/>
      <sz val="11"/>
      <color theme="10"/>
      <name val="Calibri"/>
      <family val="2"/>
      <scheme val="minor"/>
    </font>
    <font>
      <sz val="12"/>
      <color indexed="8"/>
      <name val="Arial"/>
      <family val="2"/>
    </font>
    <font>
      <sz val="12"/>
      <color rgb="FF000000"/>
      <name val="Arial"/>
      <family val="2"/>
    </font>
    <font>
      <sz val="11"/>
      <name val="Calibri"/>
      <family val="2"/>
      <scheme val="minor"/>
    </font>
    <font>
      <sz val="11"/>
      <color rgb="FF0070C0"/>
      <name val="Calibri"/>
      <family val="2"/>
      <scheme val="minor"/>
    </font>
    <font>
      <u/>
      <sz val="11"/>
      <name val="Calibri"/>
      <family val="2"/>
      <scheme val="minor"/>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63">
    <xf numFmtId="0" fontId="0" fillId="0" borderId="0" xfId="0"/>
    <xf numFmtId="0" fontId="2" fillId="0" borderId="0" xfId="0" applyFont="1"/>
    <xf numFmtId="0" fontId="3" fillId="0" borderId="0" xfId="0" applyFont="1"/>
    <xf numFmtId="0" fontId="5" fillId="0" borderId="0" xfId="0" applyFont="1" applyAlignment="1">
      <alignment horizontal="center"/>
    </xf>
    <xf numFmtId="0" fontId="5" fillId="0" borderId="0" xfId="0" applyFont="1"/>
    <xf numFmtId="0" fontId="5" fillId="0" borderId="0" xfId="0" applyFont="1" applyAlignment="1">
      <alignment horizontal="left"/>
    </xf>
    <xf numFmtId="0" fontId="1" fillId="0" borderId="0" xfId="0" applyFont="1"/>
    <xf numFmtId="0" fontId="0" fillId="0" borderId="0" xfId="0" applyAlignment="1">
      <alignment wrapText="1"/>
    </xf>
    <xf numFmtId="9" fontId="0" fillId="0" borderId="0" xfId="0" applyNumberFormat="1"/>
    <xf numFmtId="2" fontId="0" fillId="0" borderId="0" xfId="0" applyNumberFormat="1"/>
    <xf numFmtId="0" fontId="8" fillId="0" borderId="0" xfId="0" applyFont="1"/>
    <xf numFmtId="0" fontId="9" fillId="0" borderId="0" xfId="0" applyFont="1" applyAlignment="1">
      <alignment horizontal="center"/>
    </xf>
    <xf numFmtId="0" fontId="5" fillId="0" borderId="1" xfId="0" applyFont="1" applyBorder="1"/>
    <xf numFmtId="0" fontId="5" fillId="0" borderId="1" xfId="0" applyFont="1" applyBorder="1" applyAlignment="1">
      <alignment horizontal="center"/>
    </xf>
    <xf numFmtId="0" fontId="4" fillId="0" borderId="1" xfId="0" applyFont="1" applyBorder="1" applyAlignment="1">
      <alignment horizontal="center"/>
    </xf>
    <xf numFmtId="0" fontId="9" fillId="0" borderId="1" xfId="0" applyFont="1" applyBorder="1" applyAlignment="1">
      <alignment horizontal="center"/>
    </xf>
    <xf numFmtId="1" fontId="5" fillId="0" borderId="1" xfId="0" applyNumberFormat="1" applyFont="1" applyBorder="1" applyAlignment="1">
      <alignment horizontal="center"/>
    </xf>
    <xf numFmtId="0" fontId="4" fillId="0" borderId="1" xfId="0" applyFont="1" applyBorder="1"/>
    <xf numFmtId="1" fontId="9" fillId="0" borderId="1" xfId="0" applyNumberFormat="1" applyFont="1" applyBorder="1" applyAlignment="1">
      <alignment horizontal="center"/>
    </xf>
    <xf numFmtId="165" fontId="5" fillId="0" borderId="1" xfId="0" applyNumberFormat="1" applyFont="1" applyBorder="1" applyAlignment="1">
      <alignment horizontal="center"/>
    </xf>
    <xf numFmtId="2" fontId="9" fillId="0" borderId="1" xfId="0" applyNumberFormat="1" applyFont="1" applyBorder="1" applyAlignment="1">
      <alignment horizontal="center"/>
    </xf>
    <xf numFmtId="2" fontId="5" fillId="0" borderId="1" xfId="0" applyNumberFormat="1" applyFont="1" applyBorder="1" applyAlignment="1">
      <alignment horizontal="center"/>
    </xf>
    <xf numFmtId="0" fontId="10" fillId="0" borderId="0" xfId="0" applyFont="1" applyAlignment="1">
      <alignment horizontal="center"/>
    </xf>
    <xf numFmtId="0" fontId="5" fillId="0" borderId="1" xfId="0" applyFont="1" applyBorder="1" applyAlignment="1">
      <alignment wrapText="1"/>
    </xf>
    <xf numFmtId="0" fontId="5" fillId="0" borderId="1" xfId="0" applyFont="1" applyBorder="1" applyAlignment="1">
      <alignment horizontal="left"/>
    </xf>
    <xf numFmtId="2" fontId="10" fillId="0" borderId="0" xfId="0" applyNumberFormat="1" applyFont="1" applyAlignment="1">
      <alignment horizontal="center"/>
    </xf>
    <xf numFmtId="166" fontId="5" fillId="0" borderId="0" xfId="0" applyNumberFormat="1" applyFont="1" applyAlignment="1">
      <alignment horizontal="center"/>
    </xf>
    <xf numFmtId="10" fontId="5" fillId="0" borderId="1" xfId="0" applyNumberFormat="1" applyFont="1" applyBorder="1" applyAlignment="1">
      <alignment horizontal="center"/>
    </xf>
    <xf numFmtId="9" fontId="5" fillId="0" borderId="1" xfId="0" applyNumberFormat="1" applyFont="1" applyBorder="1" applyAlignment="1">
      <alignment horizontal="center"/>
    </xf>
    <xf numFmtId="164" fontId="5" fillId="0" borderId="1" xfId="0" applyNumberFormat="1" applyFont="1" applyBorder="1" applyAlignment="1">
      <alignment horizontal="center"/>
    </xf>
    <xf numFmtId="0" fontId="0" fillId="0" borderId="1" xfId="0" applyBorder="1"/>
    <xf numFmtId="2" fontId="5" fillId="0" borderId="1" xfId="0" applyNumberFormat="1" applyFont="1" applyBorder="1"/>
    <xf numFmtId="0" fontId="0" fillId="0" borderId="0" xfId="0" applyAlignment="1">
      <alignment horizontal="center"/>
    </xf>
    <xf numFmtId="166" fontId="5" fillId="0" borderId="1" xfId="0" applyNumberFormat="1" applyFont="1" applyBorder="1"/>
    <xf numFmtId="2" fontId="0" fillId="0" borderId="1" xfId="0" applyNumberFormat="1" applyBorder="1"/>
    <xf numFmtId="0" fontId="11" fillId="0" borderId="0" xfId="1" applyAlignment="1" applyProtection="1"/>
    <xf numFmtId="0" fontId="3" fillId="0" borderId="0" xfId="0" applyFont="1" applyAlignment="1">
      <alignment horizontal="center"/>
    </xf>
    <xf numFmtId="2" fontId="2" fillId="0" borderId="0" xfId="0" applyNumberFormat="1" applyFont="1"/>
    <xf numFmtId="0" fontId="0" fillId="0" borderId="0" xfId="0" applyAlignment="1">
      <alignment horizontal="left"/>
    </xf>
    <xf numFmtId="0" fontId="3" fillId="0" borderId="0" xfId="0" applyFont="1" applyAlignment="1">
      <alignment horizontal="left"/>
    </xf>
    <xf numFmtId="49" fontId="3" fillId="0" borderId="0" xfId="0" applyNumberFormat="1" applyFont="1"/>
    <xf numFmtId="10" fontId="2" fillId="0" borderId="0" xfId="0" applyNumberFormat="1" applyFont="1"/>
    <xf numFmtId="0" fontId="2" fillId="0" borderId="0" xfId="0" applyFont="1" applyAlignment="1">
      <alignment horizontal="center"/>
    </xf>
    <xf numFmtId="164" fontId="0" fillId="0" borderId="0" xfId="0" applyNumberFormat="1" applyAlignment="1">
      <alignment horizontal="center"/>
    </xf>
    <xf numFmtId="0" fontId="2" fillId="0" borderId="0" xfId="0" applyFont="1" applyAlignment="1">
      <alignment horizontal="left"/>
    </xf>
    <xf numFmtId="14" fontId="3" fillId="0" borderId="0" xfId="0" applyNumberFormat="1" applyFont="1" applyAlignment="1">
      <alignment horizontal="left"/>
    </xf>
    <xf numFmtId="0" fontId="3" fillId="0" borderId="0" xfId="0" applyFont="1" applyAlignment="1">
      <alignment wrapText="1"/>
    </xf>
    <xf numFmtId="14" fontId="0" fillId="0" borderId="0" xfId="0" applyNumberFormat="1" applyAlignment="1">
      <alignment horizontal="left"/>
    </xf>
    <xf numFmtId="0" fontId="1" fillId="0" borderId="0" xfId="0" applyFont="1" applyAlignment="1">
      <alignment horizontal="center"/>
    </xf>
    <xf numFmtId="0" fontId="12" fillId="0" borderId="0" xfId="0" applyFont="1" applyAlignment="1">
      <alignment horizontal="center"/>
    </xf>
    <xf numFmtId="166" fontId="10" fillId="0" borderId="0" xfId="0" applyNumberFormat="1" applyFont="1" applyAlignment="1">
      <alignment horizontal="center"/>
    </xf>
    <xf numFmtId="2" fontId="13" fillId="0" borderId="0" xfId="0" applyNumberFormat="1" applyFont="1" applyAlignment="1">
      <alignment horizontal="left"/>
    </xf>
    <xf numFmtId="2" fontId="2" fillId="0" borderId="1" xfId="0" applyNumberFormat="1" applyFont="1" applyBorder="1" applyAlignment="1">
      <alignment horizontal="center"/>
    </xf>
    <xf numFmtId="2" fontId="4" fillId="0" borderId="1" xfId="0" applyNumberFormat="1" applyFont="1" applyBorder="1" applyAlignment="1">
      <alignment horizontal="center"/>
    </xf>
    <xf numFmtId="2" fontId="15" fillId="0" borderId="0" xfId="0" applyNumberFormat="1" applyFont="1"/>
    <xf numFmtId="0" fontId="15" fillId="0" borderId="0" xfId="0" applyFont="1"/>
    <xf numFmtId="164" fontId="15" fillId="0" borderId="0" xfId="0" applyNumberFormat="1" applyFont="1"/>
    <xf numFmtId="165" fontId="15" fillId="0" borderId="0" xfId="0" applyNumberFormat="1" applyFont="1"/>
    <xf numFmtId="9" fontId="15" fillId="0" borderId="0" xfId="0" applyNumberFormat="1" applyFont="1"/>
    <xf numFmtId="10" fontId="15" fillId="0" borderId="0" xfId="0" applyNumberFormat="1" applyFont="1"/>
    <xf numFmtId="164" fontId="14" fillId="0" borderId="0" xfId="0" applyNumberFormat="1" applyFont="1"/>
    <xf numFmtId="1" fontId="0" fillId="0" borderId="0" xfId="0" applyNumberFormat="1"/>
    <xf numFmtId="0" fontId="16"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10972645273274"/>
          <c:y val="7.8788151481064869E-2"/>
          <c:w val="0.75506312483988325"/>
          <c:h val="0.77373890021089842"/>
        </c:manualLayout>
      </c:layout>
      <c:scatterChart>
        <c:scatterStyle val="lineMarker"/>
        <c:varyColors val="0"/>
        <c:ser>
          <c:idx val="0"/>
          <c:order val="0"/>
          <c:spPr>
            <a:ln w="38100">
              <a:solidFill>
                <a:srgbClr val="000080"/>
              </a:solidFill>
              <a:prstDash val="solid"/>
            </a:ln>
          </c:spPr>
          <c:marker>
            <c:symbol val="none"/>
          </c:marker>
          <c:xVal>
            <c:numRef>
              <c:f>Geschäftsmodell!$C$8:$W$8</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Geschäftsmodell!$C$49:$W$49</c:f>
              <c:numCache>
                <c:formatCode>0.00</c:formatCode>
                <c:ptCount val="21"/>
                <c:pt idx="0" formatCode="0.000">
                  <c:v>-12768</c:v>
                </c:pt>
                <c:pt idx="1">
                  <c:v>-12230.730081472317</c:v>
                </c:pt>
                <c:pt idx="2">
                  <c:v>-11693.460162944633</c:v>
                </c:pt>
                <c:pt idx="3">
                  <c:v>-11156.19024441695</c:v>
                </c:pt>
                <c:pt idx="4">
                  <c:v>-10618.920325889267</c:v>
                </c:pt>
                <c:pt idx="5">
                  <c:v>-10081.650407361583</c:v>
                </c:pt>
                <c:pt idx="6">
                  <c:v>-9544.3804888339</c:v>
                </c:pt>
                <c:pt idx="7">
                  <c:v>-9007.1105703062167</c:v>
                </c:pt>
                <c:pt idx="8">
                  <c:v>-8469.8406517785334</c:v>
                </c:pt>
                <c:pt idx="9">
                  <c:v>-7932.57073325085</c:v>
                </c:pt>
                <c:pt idx="10">
                  <c:v>-7395.3008147231667</c:v>
                </c:pt>
                <c:pt idx="11">
                  <c:v>-6194.0948961954828</c:v>
                </c:pt>
                <c:pt idx="12">
                  <c:v>-4992.8889776677988</c:v>
                </c:pt>
                <c:pt idx="13">
                  <c:v>-3791.6830591401149</c:v>
                </c:pt>
                <c:pt idx="14">
                  <c:v>-2590.477140612431</c:v>
                </c:pt>
                <c:pt idx="15">
                  <c:v>-1389.271222084747</c:v>
                </c:pt>
                <c:pt idx="16">
                  <c:v>-188.06530355706309</c:v>
                </c:pt>
                <c:pt idx="17">
                  <c:v>1013.1406149706208</c:v>
                </c:pt>
                <c:pt idx="18">
                  <c:v>2214.3465334983048</c:v>
                </c:pt>
                <c:pt idx="19">
                  <c:v>3415.5524520259887</c:v>
                </c:pt>
                <c:pt idx="20">
                  <c:v>4616.7583705536726</c:v>
                </c:pt>
              </c:numCache>
            </c:numRef>
          </c:yVal>
          <c:smooth val="0"/>
          <c:extLst>
            <c:ext xmlns:c16="http://schemas.microsoft.com/office/drawing/2014/chart" uri="{C3380CC4-5D6E-409C-BE32-E72D297353CC}">
              <c16:uniqueId val="{00000000-AD20-463D-B873-C43DF5EC1964}"/>
            </c:ext>
          </c:extLst>
        </c:ser>
        <c:dLbls>
          <c:showLegendKey val="0"/>
          <c:showVal val="0"/>
          <c:showCatName val="0"/>
          <c:showSerName val="0"/>
          <c:showPercent val="0"/>
          <c:showBubbleSize val="0"/>
        </c:dLbls>
        <c:axId val="1085216176"/>
        <c:axId val="1"/>
      </c:scatterChart>
      <c:valAx>
        <c:axId val="1085216176"/>
        <c:scaling>
          <c:orientation val="minMax"/>
          <c:max val="20"/>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valAx>
      <c:valAx>
        <c:axId val="1"/>
        <c:scaling>
          <c:orientation val="minMax"/>
          <c:min val="-15000"/>
        </c:scaling>
        <c:delete val="0"/>
        <c:axPos val="l"/>
        <c:majorGridlines>
          <c:spPr>
            <a:ln w="3175">
              <a:solidFill>
                <a:srgbClr val="000000"/>
              </a:solidFill>
              <a:prstDash val="solid"/>
            </a:ln>
          </c:spPr>
        </c:majorGridlines>
        <c:numFmt formatCode="0" sourceLinked="0"/>
        <c:majorTickMark val="out"/>
        <c:minorTickMark val="in"/>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85216176"/>
        <c:crosses val="autoZero"/>
        <c:crossBetween val="midCat"/>
        <c:majorUnit val="50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5272745351261069"/>
          <c:y val="7.8788034225130657E-2"/>
          <c:w val="0.80848580549929627"/>
          <c:h val="0.77373890021089842"/>
        </c:manualLayout>
      </c:layout>
      <c:scatterChart>
        <c:scatterStyle val="lineMarker"/>
        <c:varyColors val="0"/>
        <c:ser>
          <c:idx val="0"/>
          <c:order val="0"/>
          <c:tx>
            <c:strRef>
              <c:f>Geschäftsmodell!$A$42</c:f>
              <c:strCache>
                <c:ptCount val="1"/>
                <c:pt idx="0">
                  <c:v>Kontostand am Jahresende mit Auszahlungen</c:v>
                </c:pt>
              </c:strCache>
            </c:strRef>
          </c:tx>
          <c:spPr>
            <a:ln w="38100">
              <a:solidFill>
                <a:srgbClr val="000080"/>
              </a:solidFill>
              <a:prstDash val="solid"/>
            </a:ln>
          </c:spPr>
          <c:marker>
            <c:symbol val="none"/>
          </c:marker>
          <c:xVal>
            <c:numRef>
              <c:f>Geschäftsmodell!$C$8:$W$8</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Geschäftsmodell!$C$42:$W$42</c:f>
              <c:numCache>
                <c:formatCode>0.00</c:formatCode>
                <c:ptCount val="21"/>
                <c:pt idx="0">
                  <c:v>562.05272000000002</c:v>
                </c:pt>
                <c:pt idx="1">
                  <c:v>887.28252147231626</c:v>
                </c:pt>
                <c:pt idx="2">
                  <c:v>1224.8251908266325</c:v>
                </c:pt>
                <c:pt idx="3">
                  <c:v>1575.0197931078687</c:v>
                </c:pt>
                <c:pt idx="4">
                  <c:v>1938.2129061473465</c:v>
                </c:pt>
                <c:pt idx="5">
                  <c:v>2314.7587661714319</c:v>
                </c:pt>
                <c:pt idx="6">
                  <c:v>2705.0194153851912</c:v>
                </c:pt>
                <c:pt idx="7">
                  <c:v>3109.3648515185082</c:v>
                </c:pt>
                <c:pt idx="8">
                  <c:v>3528.1731793195891</c:v>
                </c:pt>
                <c:pt idx="9">
                  <c:v>3961.8307639781046</c:v>
                </c:pt>
                <c:pt idx="10">
                  <c:v>1857.1323864574051</c:v>
                </c:pt>
                <c:pt idx="11">
                  <c:v>1657.7454007122701</c:v>
                </c:pt>
                <c:pt idx="12">
                  <c:v>1474.4178927655271</c:v>
                </c:pt>
                <c:pt idx="13">
                  <c:v>1307.5708416135758</c:v>
                </c:pt>
                <c:pt idx="14">
                  <c:v>1157.6342819273805</c:v>
                </c:pt>
                <c:pt idx="15">
                  <c:v>1025.0474685118479</c:v>
                </c:pt>
                <c:pt idx="16">
                  <c:v>910.25904248266124</c:v>
                </c:pt>
                <c:pt idx="17">
                  <c:v>813.72719911559989</c:v>
                </c:pt>
                <c:pt idx="18">
                  <c:v>735.91985731914292</c:v>
                </c:pt>
                <c:pt idx="19">
                  <c:v>677.31483067668205</c:v>
                </c:pt>
                <c:pt idx="20">
                  <c:v>-1.3642420526593924E-12</c:v>
                </c:pt>
              </c:numCache>
            </c:numRef>
          </c:yVal>
          <c:smooth val="0"/>
          <c:extLst>
            <c:ext xmlns:c16="http://schemas.microsoft.com/office/drawing/2014/chart" uri="{C3380CC4-5D6E-409C-BE32-E72D297353CC}">
              <c16:uniqueId val="{00000000-074D-45D8-8EB7-D8F34B743197}"/>
            </c:ext>
          </c:extLst>
        </c:ser>
        <c:dLbls>
          <c:showLegendKey val="0"/>
          <c:showVal val="0"/>
          <c:showCatName val="0"/>
          <c:showSerName val="0"/>
          <c:showPercent val="0"/>
          <c:showBubbleSize val="0"/>
        </c:dLbls>
        <c:axId val="1085209944"/>
        <c:axId val="1"/>
      </c:scatterChart>
      <c:valAx>
        <c:axId val="1085209944"/>
        <c:scaling>
          <c:orientation val="minMax"/>
          <c:max val="22"/>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8520994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2745351261069"/>
          <c:y val="7.8788034225130657E-2"/>
          <c:w val="0.80848580549929627"/>
          <c:h val="0.77373890021089842"/>
        </c:manualLayout>
      </c:layout>
      <c:scatterChart>
        <c:scatterStyle val="lineMarker"/>
        <c:varyColors val="0"/>
        <c:ser>
          <c:idx val="0"/>
          <c:order val="0"/>
          <c:tx>
            <c:strRef>
              <c:f>Geschäftsmodell!$A$91</c:f>
              <c:strCache>
                <c:ptCount val="1"/>
                <c:pt idx="0">
                  <c:v>spezifische Stromerzeugung</c:v>
                </c:pt>
              </c:strCache>
            </c:strRef>
          </c:tx>
          <c:spPr>
            <a:ln w="38100">
              <a:solidFill>
                <a:srgbClr val="000080"/>
              </a:solidFill>
              <a:prstDash val="solid"/>
            </a:ln>
          </c:spPr>
          <c:marker>
            <c:symbol val="none"/>
          </c:marker>
          <c:xVal>
            <c:numRef>
              <c:f>Geschäftsmodell!$C$87:$W$87</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Geschäftsmodell!$C$91:$W$91</c:f>
              <c:numCache>
                <c:formatCode>0</c:formatCode>
                <c:ptCount val="21"/>
                <c:pt idx="0">
                  <c:v>665</c:v>
                </c:pt>
                <c:pt idx="1">
                  <c:v>950</c:v>
                </c:pt>
                <c:pt idx="2">
                  <c:v>945.25</c:v>
                </c:pt>
                <c:pt idx="3">
                  <c:v>940.5</c:v>
                </c:pt>
                <c:pt idx="4">
                  <c:v>935.75</c:v>
                </c:pt>
                <c:pt idx="5">
                  <c:v>931</c:v>
                </c:pt>
                <c:pt idx="6">
                  <c:v>926.25</c:v>
                </c:pt>
                <c:pt idx="7">
                  <c:v>921.5</c:v>
                </c:pt>
                <c:pt idx="8">
                  <c:v>916.75</c:v>
                </c:pt>
                <c:pt idx="9">
                  <c:v>912</c:v>
                </c:pt>
                <c:pt idx="10">
                  <c:v>907.24999999999989</c:v>
                </c:pt>
                <c:pt idx="11">
                  <c:v>902.49999999999989</c:v>
                </c:pt>
                <c:pt idx="12">
                  <c:v>897.75</c:v>
                </c:pt>
                <c:pt idx="13">
                  <c:v>893</c:v>
                </c:pt>
                <c:pt idx="14">
                  <c:v>888.25</c:v>
                </c:pt>
                <c:pt idx="15">
                  <c:v>883.5</c:v>
                </c:pt>
                <c:pt idx="16">
                  <c:v>878.75000000000011</c:v>
                </c:pt>
                <c:pt idx="17">
                  <c:v>874.00000000000011</c:v>
                </c:pt>
                <c:pt idx="18">
                  <c:v>869.25000000000011</c:v>
                </c:pt>
                <c:pt idx="19">
                  <c:v>864.50000000000011</c:v>
                </c:pt>
                <c:pt idx="20">
                  <c:v>859.75000000000011</c:v>
                </c:pt>
              </c:numCache>
            </c:numRef>
          </c:yVal>
          <c:smooth val="0"/>
          <c:extLst>
            <c:ext xmlns:c16="http://schemas.microsoft.com/office/drawing/2014/chart" uri="{C3380CC4-5D6E-409C-BE32-E72D297353CC}">
              <c16:uniqueId val="{00000000-822F-4EF6-BD99-7886BCC1E645}"/>
            </c:ext>
          </c:extLst>
        </c:ser>
        <c:ser>
          <c:idx val="1"/>
          <c:order val="1"/>
          <c:tx>
            <c:strRef>
              <c:f>Geschäftsmodell!$A$95</c:f>
              <c:strCache>
                <c:ptCount val="1"/>
                <c:pt idx="0">
                  <c:v>spezifische Stromerzeugung</c:v>
                </c:pt>
              </c:strCache>
            </c:strRef>
          </c:tx>
          <c:marker>
            <c:symbol val="none"/>
          </c:marker>
          <c:xVal>
            <c:numRef>
              <c:f>Geschäftsmodell!$C$87:$W$87</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Geschäftsmodell!$C$95:$W$95</c:f>
              <c:numCache>
                <c:formatCode>0</c:formatCode>
                <c:ptCount val="21"/>
              </c:numCache>
            </c:numRef>
          </c:yVal>
          <c:smooth val="0"/>
          <c:extLst>
            <c:ext xmlns:c16="http://schemas.microsoft.com/office/drawing/2014/chart" uri="{C3380CC4-5D6E-409C-BE32-E72D297353CC}">
              <c16:uniqueId val="{00000001-822F-4EF6-BD99-7886BCC1E645}"/>
            </c:ext>
          </c:extLst>
        </c:ser>
        <c:dLbls>
          <c:showLegendKey val="0"/>
          <c:showVal val="0"/>
          <c:showCatName val="0"/>
          <c:showSerName val="0"/>
          <c:showPercent val="0"/>
          <c:showBubbleSize val="0"/>
        </c:dLbls>
        <c:axId val="1085211584"/>
        <c:axId val="1"/>
      </c:scatterChart>
      <c:valAx>
        <c:axId val="1085211584"/>
        <c:scaling>
          <c:orientation val="minMax"/>
          <c:max val="20"/>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max val="1000"/>
          <c:min val="0"/>
        </c:scaling>
        <c:delete val="0"/>
        <c:axPos val="l"/>
        <c:majorGridlines>
          <c:spPr>
            <a:ln w="3175">
              <a:solidFill>
                <a:srgbClr val="000000"/>
              </a:solidFill>
              <a:prstDash val="solid"/>
            </a:ln>
          </c:spPr>
        </c:majorGridlines>
        <c:numFmt formatCode="0" sourceLinked="0"/>
        <c:majorTickMark val="out"/>
        <c:minorTickMark val="none"/>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85211584"/>
        <c:crosses val="autoZero"/>
        <c:crossBetween val="midCat"/>
        <c:majorUnit val="2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2745351261069"/>
          <c:y val="7.8788034225130657E-2"/>
          <c:w val="0.80848580549929627"/>
          <c:h val="0.77373890021089842"/>
        </c:manualLayout>
      </c:layout>
      <c:scatterChart>
        <c:scatterStyle val="lineMarker"/>
        <c:varyColors val="0"/>
        <c:ser>
          <c:idx val="0"/>
          <c:order val="0"/>
          <c:tx>
            <c:strRef>
              <c:f>Geschäftsmodell!$A$97</c:f>
              <c:strCache>
                <c:ptCount val="1"/>
                <c:pt idx="0">
                  <c:v>Berechnete Entnahmen</c:v>
                </c:pt>
              </c:strCache>
            </c:strRef>
          </c:tx>
          <c:spPr>
            <a:ln w="38100">
              <a:solidFill>
                <a:srgbClr val="000080"/>
              </a:solidFill>
              <a:prstDash val="solid"/>
            </a:ln>
          </c:spPr>
          <c:marker>
            <c:symbol val="none"/>
          </c:marker>
          <c:xVal>
            <c:numRef>
              <c:f>Geschäftsmodell!$C$87:$W$87</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Geschäftsmodell!$C$97:$W$97</c:f>
              <c:numCache>
                <c:formatCode>0.00</c:formatCode>
                <c:ptCount val="21"/>
                <c:pt idx="0">
                  <c:v>0</c:v>
                </c:pt>
                <c:pt idx="1">
                  <c:v>537.26991852768367</c:v>
                </c:pt>
                <c:pt idx="2">
                  <c:v>537.26991852768367</c:v>
                </c:pt>
                <c:pt idx="3">
                  <c:v>537.26991852768367</c:v>
                </c:pt>
                <c:pt idx="4">
                  <c:v>537.26991852768367</c:v>
                </c:pt>
                <c:pt idx="5">
                  <c:v>537.26991852768367</c:v>
                </c:pt>
                <c:pt idx="6">
                  <c:v>537.26991852768367</c:v>
                </c:pt>
                <c:pt idx="7">
                  <c:v>537.26991852768367</c:v>
                </c:pt>
                <c:pt idx="8">
                  <c:v>537.26991852768367</c:v>
                </c:pt>
                <c:pt idx="9">
                  <c:v>537.26991852768367</c:v>
                </c:pt>
                <c:pt idx="10">
                  <c:v>537.26991852768367</c:v>
                </c:pt>
                <c:pt idx="11">
                  <c:v>1201.2059185276839</c:v>
                </c:pt>
                <c:pt idx="12">
                  <c:v>1201.2059185276839</c:v>
                </c:pt>
                <c:pt idx="13">
                  <c:v>1201.2059185276839</c:v>
                </c:pt>
                <c:pt idx="14">
                  <c:v>1201.2059185276839</c:v>
                </c:pt>
                <c:pt idx="15">
                  <c:v>1201.2059185276839</c:v>
                </c:pt>
                <c:pt idx="16">
                  <c:v>1201.2059185276839</c:v>
                </c:pt>
                <c:pt idx="17">
                  <c:v>1201.2059185276839</c:v>
                </c:pt>
                <c:pt idx="18">
                  <c:v>1201.2059185276839</c:v>
                </c:pt>
                <c:pt idx="19">
                  <c:v>1201.2059185276839</c:v>
                </c:pt>
                <c:pt idx="20">
                  <c:v>1201.2059185276839</c:v>
                </c:pt>
              </c:numCache>
            </c:numRef>
          </c:yVal>
          <c:smooth val="0"/>
          <c:extLst>
            <c:ext xmlns:c16="http://schemas.microsoft.com/office/drawing/2014/chart" uri="{C3380CC4-5D6E-409C-BE32-E72D297353CC}">
              <c16:uniqueId val="{00000000-DC99-4A57-9251-A978D1ADF67A}"/>
            </c:ext>
          </c:extLst>
        </c:ser>
        <c:ser>
          <c:idx val="1"/>
          <c:order val="1"/>
          <c:tx>
            <c:strRef>
              <c:f>Geschäftsmodell!$A$98</c:f>
              <c:strCache>
                <c:ptCount val="1"/>
                <c:pt idx="0">
                  <c:v>Realisierte Entnahmen</c:v>
                </c:pt>
              </c:strCache>
            </c:strRef>
          </c:tx>
          <c:marker>
            <c:symbol val="none"/>
          </c:marker>
          <c:xVal>
            <c:numRef>
              <c:f>Geschäftsmodell!$C$87:$W$87</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Geschäftsmodell!$C$98:$W$98</c:f>
              <c:numCache>
                <c:formatCode>General</c:formatCode>
                <c:ptCount val="21"/>
              </c:numCache>
            </c:numRef>
          </c:yVal>
          <c:smooth val="0"/>
          <c:extLst>
            <c:ext xmlns:c16="http://schemas.microsoft.com/office/drawing/2014/chart" uri="{C3380CC4-5D6E-409C-BE32-E72D297353CC}">
              <c16:uniqueId val="{00000001-DC99-4A57-9251-A978D1ADF67A}"/>
            </c:ext>
          </c:extLst>
        </c:ser>
        <c:dLbls>
          <c:showLegendKey val="0"/>
          <c:showVal val="0"/>
          <c:showCatName val="0"/>
          <c:showSerName val="0"/>
          <c:showPercent val="0"/>
          <c:showBubbleSize val="0"/>
        </c:dLbls>
        <c:axId val="1085213880"/>
        <c:axId val="1"/>
      </c:scatterChart>
      <c:valAx>
        <c:axId val="1085213880"/>
        <c:scaling>
          <c:orientation val="minMax"/>
          <c:max val="20"/>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8521388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66740823136816E-2"/>
          <c:y val="4.8611111111111112E-2"/>
          <c:w val="0.92213570634037823"/>
          <c:h val="0.89583333333333337"/>
        </c:manualLayout>
      </c:layout>
      <c:barChart>
        <c:barDir val="col"/>
        <c:grouping val="clustered"/>
        <c:varyColors val="0"/>
        <c:ser>
          <c:idx val="0"/>
          <c:order val="0"/>
          <c:tx>
            <c:strRef>
              <c:f>Strompreisentwicklung!$A$14</c:f>
              <c:strCache>
                <c:ptCount val="1"/>
                <c:pt idx="0">
                  <c:v>jählicher Preisanstieg für den günstigsten Preis</c:v>
                </c:pt>
              </c:strCache>
            </c:strRef>
          </c:tx>
          <c:invertIfNegative val="0"/>
          <c:cat>
            <c:numRef>
              <c:f>Strompreisentwicklung!$C$6:$R$6</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Strompreisentwicklung!$C$14:$R$14</c:f>
              <c:numCache>
                <c:formatCode>0.0%</c:formatCode>
                <c:ptCount val="16"/>
                <c:pt idx="0">
                  <c:v>5.0505050505049425E-3</c:v>
                </c:pt>
                <c:pt idx="1">
                  <c:v>0</c:v>
                </c:pt>
                <c:pt idx="2">
                  <c:v>6.7839195979899569E-2</c:v>
                </c:pt>
                <c:pt idx="3">
                  <c:v>0.10117647058823523</c:v>
                </c:pt>
                <c:pt idx="4">
                  <c:v>0.1004273504273505</c:v>
                </c:pt>
                <c:pt idx="5">
                  <c:v>3.8834951456310676E-2</c:v>
                </c:pt>
                <c:pt idx="6">
                  <c:v>-1.8691588785046728E-2</c:v>
                </c:pt>
                <c:pt idx="7">
                  <c:v>-1.1428571428571456E-2</c:v>
                </c:pt>
                <c:pt idx="8">
                  <c:v>-3.6994219653179228E-2</c:v>
                </c:pt>
                <c:pt idx="9">
                  <c:v>3.8415366146458622E-2</c:v>
                </c:pt>
                <c:pt idx="10">
                  <c:v>4.0077071290944094E-2</c:v>
                </c:pt>
                <c:pt idx="11">
                  <c:v>3.7050759540570584E-2</c:v>
                </c:pt>
                <c:pt idx="12">
                  <c:v>1.7863522686673815E-2</c:v>
                </c:pt>
                <c:pt idx="13">
                  <c:v>5.2650052650052653E-2</c:v>
                </c:pt>
                <c:pt idx="14">
                  <c:v>0.33377792597532518</c:v>
                </c:pt>
                <c:pt idx="15">
                  <c:v>-0.12750000000000003</c:v>
                </c:pt>
              </c:numCache>
            </c:numRef>
          </c:val>
          <c:extLst>
            <c:ext xmlns:c16="http://schemas.microsoft.com/office/drawing/2014/chart" uri="{C3380CC4-5D6E-409C-BE32-E72D297353CC}">
              <c16:uniqueId val="{00000000-C7A6-45FF-9A9A-B4FC3E99AEA1}"/>
            </c:ext>
          </c:extLst>
        </c:ser>
        <c:ser>
          <c:idx val="1"/>
          <c:order val="1"/>
          <c:tx>
            <c:strRef>
              <c:f>Strompreisentwicklung!$A$15</c:f>
              <c:strCache>
                <c:ptCount val="1"/>
                <c:pt idx="0">
                  <c:v>mittlerer Preisanstieg pro Jahr seit 2008</c:v>
                </c:pt>
              </c:strCache>
            </c:strRef>
          </c:tx>
          <c:spPr>
            <a:solidFill>
              <a:srgbClr val="FF0000"/>
            </a:solidFill>
          </c:spPr>
          <c:invertIfNegative val="0"/>
          <c:cat>
            <c:numRef>
              <c:f>Strompreisentwicklung!$C$6:$R$6</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Strompreisentwicklung!$C$15:$R$15</c:f>
              <c:numCache>
                <c:formatCode>0.0%</c:formatCode>
                <c:ptCount val="16"/>
                <c:pt idx="0">
                  <c:v>5.050505050504972E-3</c:v>
                </c:pt>
                <c:pt idx="1">
                  <c:v>2.5220721014100889E-3</c:v>
                </c:pt>
                <c:pt idx="2">
                  <c:v>2.3838008443008762E-2</c:v>
                </c:pt>
                <c:pt idx="3">
                  <c:v>4.264788543842446E-2</c:v>
                </c:pt>
                <c:pt idx="4">
                  <c:v>5.3955825427599358E-2</c:v>
                </c:pt>
                <c:pt idx="5">
                  <c:v>5.1420481335200607E-2</c:v>
                </c:pt>
                <c:pt idx="6">
                  <c:v>4.1105819147615685E-2</c:v>
                </c:pt>
                <c:pt idx="7">
                  <c:v>3.4389304890367844E-2</c:v>
                </c:pt>
                <c:pt idx="8">
                  <c:v>2.6203406010751662E-2</c:v>
                </c:pt>
                <c:pt idx="9">
                  <c:v>2.74181113107832E-2</c:v>
                </c:pt>
                <c:pt idx="10">
                  <c:v>2.8562530784063789E-2</c:v>
                </c:pt>
                <c:pt idx="11">
                  <c:v>2.9267221710524316E-2</c:v>
                </c:pt>
                <c:pt idx="12">
                  <c:v>2.8385496298976909E-2</c:v>
                </c:pt>
                <c:pt idx="13">
                  <c:v>3.0099975450898375E-2</c:v>
                </c:pt>
                <c:pt idx="14">
                  <c:v>4.7996068465465447E-2</c:v>
                </c:pt>
                <c:pt idx="15">
                  <c:v>3.6060257462029011E-2</c:v>
                </c:pt>
              </c:numCache>
            </c:numRef>
          </c:val>
          <c:extLst>
            <c:ext xmlns:c16="http://schemas.microsoft.com/office/drawing/2014/chart" uri="{C3380CC4-5D6E-409C-BE32-E72D297353CC}">
              <c16:uniqueId val="{00000001-C7A6-45FF-9A9A-B4FC3E99AEA1}"/>
            </c:ext>
          </c:extLst>
        </c:ser>
        <c:dLbls>
          <c:showLegendKey val="0"/>
          <c:showVal val="0"/>
          <c:showCatName val="0"/>
          <c:showSerName val="0"/>
          <c:showPercent val="0"/>
          <c:showBubbleSize val="0"/>
        </c:dLbls>
        <c:gapWidth val="150"/>
        <c:axId val="1085199120"/>
        <c:axId val="1"/>
      </c:barChart>
      <c:catAx>
        <c:axId val="10851991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NL"/>
          </a:p>
        </c:txPr>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NL"/>
          </a:p>
        </c:txPr>
        <c:crossAx val="108519912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NL"/>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scatterChart>
        <c:scatterStyle val="lineMarker"/>
        <c:varyColors val="0"/>
        <c:ser>
          <c:idx val="0"/>
          <c:order val="0"/>
          <c:tx>
            <c:v>Strompreis Entwicklung in ct/kWh</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Strompreisentwicklung!$B$6:$R$6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xVal>
          <c:yVal>
            <c:numRef>
              <c:f>Strompreisentwicklung!$B$13:$R$13</c:f>
              <c:numCache>
                <c:formatCode>General</c:formatCode>
                <c:ptCount val="17"/>
                <c:pt idx="0">
                  <c:v>19.8</c:v>
                </c:pt>
                <c:pt idx="1">
                  <c:v>19.899999999999999</c:v>
                </c:pt>
                <c:pt idx="2">
                  <c:v>19.899999999999999</c:v>
                </c:pt>
                <c:pt idx="3">
                  <c:v>21.25</c:v>
                </c:pt>
                <c:pt idx="4">
                  <c:v>23.4</c:v>
                </c:pt>
                <c:pt idx="5">
                  <c:v>25.75</c:v>
                </c:pt>
                <c:pt idx="6">
                  <c:v>26.75</c:v>
                </c:pt>
                <c:pt idx="7">
                  <c:v>26.25</c:v>
                </c:pt>
                <c:pt idx="8">
                  <c:v>25.95</c:v>
                </c:pt>
                <c:pt idx="9">
                  <c:v>24.99</c:v>
                </c:pt>
                <c:pt idx="10">
                  <c:v>25.95</c:v>
                </c:pt>
                <c:pt idx="11">
                  <c:v>26.99</c:v>
                </c:pt>
                <c:pt idx="12">
                  <c:v>27.99</c:v>
                </c:pt>
                <c:pt idx="13">
                  <c:v>28.49</c:v>
                </c:pt>
                <c:pt idx="14">
                  <c:v>29.99</c:v>
                </c:pt>
                <c:pt idx="15">
                  <c:v>40</c:v>
                </c:pt>
                <c:pt idx="16">
                  <c:v>34.9</c:v>
                </c:pt>
              </c:numCache>
            </c:numRef>
          </c:yVal>
          <c:smooth val="0"/>
          <c:extLst>
            <c:ext xmlns:c16="http://schemas.microsoft.com/office/drawing/2014/chart" uri="{C3380CC4-5D6E-409C-BE32-E72D297353CC}">
              <c16:uniqueId val="{00000000-F8C5-4B8B-AF0D-7F12F4C1DE30}"/>
            </c:ext>
          </c:extLst>
        </c:ser>
        <c:dLbls>
          <c:showLegendKey val="0"/>
          <c:showVal val="0"/>
          <c:showCatName val="0"/>
          <c:showSerName val="0"/>
          <c:showPercent val="0"/>
          <c:showBubbleSize val="0"/>
        </c:dLbls>
        <c:axId val="840087888"/>
        <c:axId val="840093288"/>
      </c:scatterChart>
      <c:valAx>
        <c:axId val="840087888"/>
        <c:scaling>
          <c:orientation val="minMax"/>
          <c:min val="200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NL"/>
          </a:p>
        </c:txPr>
        <c:crossAx val="840093288"/>
        <c:crosses val="autoZero"/>
        <c:crossBetween val="midCat"/>
        <c:majorUnit val="2"/>
        <c:minorUnit val="2"/>
      </c:valAx>
      <c:valAx>
        <c:axId val="840093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NL"/>
          </a:p>
        </c:txPr>
        <c:crossAx val="8400878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830580</xdr:colOff>
      <xdr:row>52</xdr:row>
      <xdr:rowOff>38100</xdr:rowOff>
    </xdr:from>
    <xdr:to>
      <xdr:col>13</xdr:col>
      <xdr:colOff>266700</xdr:colOff>
      <xdr:row>76</xdr:row>
      <xdr:rowOff>160020</xdr:rowOff>
    </xdr:to>
    <xdr:graphicFrame macro="">
      <xdr:nvGraphicFramePr>
        <xdr:cNvPr id="2" name="Chart 3">
          <a:extLst>
            <a:ext uri="{FF2B5EF4-FFF2-40B4-BE49-F238E27FC236}">
              <a16:creationId xmlns:a16="http://schemas.microsoft.com/office/drawing/2014/main" id="{BD372766-32AA-4F0A-AD40-BF10AB0B4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22860</xdr:colOff>
      <xdr:row>52</xdr:row>
      <xdr:rowOff>38100</xdr:rowOff>
    </xdr:from>
    <xdr:to>
      <xdr:col>24</xdr:col>
      <xdr:colOff>198120</xdr:colOff>
      <xdr:row>76</xdr:row>
      <xdr:rowOff>76200</xdr:rowOff>
    </xdr:to>
    <xdr:graphicFrame macro="">
      <xdr:nvGraphicFramePr>
        <xdr:cNvPr id="3" name="Chart 3">
          <a:extLst>
            <a:ext uri="{FF2B5EF4-FFF2-40B4-BE49-F238E27FC236}">
              <a16:creationId xmlns:a16="http://schemas.microsoft.com/office/drawing/2014/main" id="{9A6CAAF4-797A-40BB-854D-2D76D8C7B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100</xdr:row>
      <xdr:rowOff>0</xdr:rowOff>
    </xdr:from>
    <xdr:to>
      <xdr:col>12</xdr:col>
      <xdr:colOff>723900</xdr:colOff>
      <xdr:row>129</xdr:row>
      <xdr:rowOff>22860</xdr:rowOff>
    </xdr:to>
    <xdr:graphicFrame macro="">
      <xdr:nvGraphicFramePr>
        <xdr:cNvPr id="4" name="Chart 3">
          <a:extLst>
            <a:ext uri="{FF2B5EF4-FFF2-40B4-BE49-F238E27FC236}">
              <a16:creationId xmlns:a16="http://schemas.microsoft.com/office/drawing/2014/main" id="{7489EB5E-C389-424E-A63F-FDE3299118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100</xdr:row>
      <xdr:rowOff>0</xdr:rowOff>
    </xdr:from>
    <xdr:to>
      <xdr:col>24</xdr:col>
      <xdr:colOff>7620</xdr:colOff>
      <xdr:row>129</xdr:row>
      <xdr:rowOff>22860</xdr:rowOff>
    </xdr:to>
    <xdr:graphicFrame macro="">
      <xdr:nvGraphicFramePr>
        <xdr:cNvPr id="5" name="Chart 4">
          <a:extLst>
            <a:ext uri="{FF2B5EF4-FFF2-40B4-BE49-F238E27FC236}">
              <a16:creationId xmlns:a16="http://schemas.microsoft.com/office/drawing/2014/main" id="{CB11C398-2979-4178-9637-4ADB842E2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18</xdr:row>
      <xdr:rowOff>22860</xdr:rowOff>
    </xdr:from>
    <xdr:to>
      <xdr:col>14</xdr:col>
      <xdr:colOff>7620</xdr:colOff>
      <xdr:row>35</xdr:row>
      <xdr:rowOff>7620</xdr:rowOff>
    </xdr:to>
    <xdr:graphicFrame macro="">
      <xdr:nvGraphicFramePr>
        <xdr:cNvPr id="2" name="Diagramm 1">
          <a:extLst>
            <a:ext uri="{FF2B5EF4-FFF2-40B4-BE49-F238E27FC236}">
              <a16:creationId xmlns:a16="http://schemas.microsoft.com/office/drawing/2014/main" id="{9156F53C-4AA4-470C-9B9F-E460D12C9D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38100</xdr:colOff>
      <xdr:row>18</xdr:row>
      <xdr:rowOff>11430</xdr:rowOff>
    </xdr:from>
    <xdr:to>
      <xdr:col>24</xdr:col>
      <xdr:colOff>0</xdr:colOff>
      <xdr:row>33</xdr:row>
      <xdr:rowOff>11430</xdr:rowOff>
    </xdr:to>
    <xdr:graphicFrame macro="">
      <xdr:nvGraphicFramePr>
        <xdr:cNvPr id="3" name="Chart 2">
          <a:extLst>
            <a:ext uri="{FF2B5EF4-FFF2-40B4-BE49-F238E27FC236}">
              <a16:creationId xmlns:a16="http://schemas.microsoft.com/office/drawing/2014/main" id="{89C23934-0849-C1A6-E6E6-D49FAB3B70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wikipedia.org/wiki/Annuit%C3%A4tendarlehe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e.wikipedia.org/wiki/Annuit%C3%A4tendarleh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63314-ACBF-4805-AA18-56B10F0249EE}">
  <dimension ref="A1:G34"/>
  <sheetViews>
    <sheetView tabSelected="1" zoomScaleNormal="100" workbookViewId="0">
      <selection activeCell="D3" sqref="D3"/>
    </sheetView>
  </sheetViews>
  <sheetFormatPr defaultRowHeight="14.4"/>
  <cols>
    <col min="1" max="1" width="70.6640625" customWidth="1"/>
    <col min="3" max="3" width="20.77734375" customWidth="1"/>
    <col min="4" max="4" width="94.88671875" customWidth="1"/>
    <col min="5" max="5" width="9.21875" customWidth="1"/>
  </cols>
  <sheetData>
    <row r="1" spans="1:4">
      <c r="A1" s="6" t="s">
        <v>159</v>
      </c>
    </row>
    <row r="2" spans="1:4">
      <c r="A2" t="s">
        <v>0</v>
      </c>
    </row>
    <row r="3" spans="1:4">
      <c r="A3" t="s">
        <v>1</v>
      </c>
    </row>
    <row r="4" spans="1:4">
      <c r="C4" s="55" t="s">
        <v>140</v>
      </c>
    </row>
    <row r="5" spans="1:4">
      <c r="A5" s="6" t="s">
        <v>2</v>
      </c>
      <c r="C5" t="s">
        <v>141</v>
      </c>
    </row>
    <row r="6" spans="1:4">
      <c r="A6" t="s">
        <v>3</v>
      </c>
      <c r="B6" t="s">
        <v>4</v>
      </c>
      <c r="C6" s="54">
        <f>16*0.42</f>
        <v>6.72</v>
      </c>
      <c r="D6" t="s">
        <v>160</v>
      </c>
    </row>
    <row r="7" spans="1:4" ht="30" customHeight="1">
      <c r="A7" t="s">
        <v>5</v>
      </c>
      <c r="B7" t="s">
        <v>6</v>
      </c>
      <c r="C7" s="55">
        <v>950</v>
      </c>
      <c r="D7" s="7" t="s">
        <v>161</v>
      </c>
    </row>
    <row r="8" spans="1:4">
      <c r="A8" t="s">
        <v>7</v>
      </c>
      <c r="B8" t="s">
        <v>8</v>
      </c>
      <c r="C8" s="56">
        <v>5.0000000000000001E-3</v>
      </c>
      <c r="D8" t="s">
        <v>9</v>
      </c>
    </row>
    <row r="9" spans="1:4">
      <c r="C9" s="55"/>
    </row>
    <row r="10" spans="1:4">
      <c r="A10" t="s">
        <v>146</v>
      </c>
      <c r="B10" t="s">
        <v>10</v>
      </c>
      <c r="C10" s="55">
        <v>8.1199999999999994E-2</v>
      </c>
      <c r="D10" t="s">
        <v>155</v>
      </c>
    </row>
    <row r="11" spans="1:4">
      <c r="A11" t="s">
        <v>157</v>
      </c>
      <c r="B11" t="s">
        <v>10</v>
      </c>
      <c r="C11" s="57">
        <f>0.349</f>
        <v>0.34899999999999998</v>
      </c>
      <c r="D11" t="s">
        <v>154</v>
      </c>
    </row>
    <row r="12" spans="1:4">
      <c r="A12" t="s">
        <v>11</v>
      </c>
      <c r="C12" s="58">
        <v>0.03</v>
      </c>
      <c r="D12" t="s">
        <v>126</v>
      </c>
    </row>
    <row r="13" spans="1:4">
      <c r="A13" t="s">
        <v>147</v>
      </c>
      <c r="C13" s="58">
        <v>0.25</v>
      </c>
    </row>
    <row r="14" spans="1:4">
      <c r="C14" s="55"/>
    </row>
    <row r="15" spans="1:4">
      <c r="A15" t="s">
        <v>128</v>
      </c>
      <c r="B15" t="s">
        <v>12</v>
      </c>
      <c r="C15" s="54">
        <f>1900</f>
        <v>1900</v>
      </c>
      <c r="D15" t="s">
        <v>158</v>
      </c>
    </row>
    <row r="16" spans="1:4">
      <c r="A16" t="s">
        <v>129</v>
      </c>
      <c r="B16" t="s">
        <v>13</v>
      </c>
      <c r="C16">
        <f>C6*C15</f>
        <v>12768</v>
      </c>
    </row>
    <row r="17" spans="1:7">
      <c r="A17" t="s">
        <v>14</v>
      </c>
      <c r="B17" t="s">
        <v>15</v>
      </c>
      <c r="C17" s="58">
        <v>1</v>
      </c>
      <c r="D17" t="s">
        <v>16</v>
      </c>
    </row>
    <row r="18" spans="1:7">
      <c r="A18" t="s">
        <v>14</v>
      </c>
      <c r="B18" t="s">
        <v>13</v>
      </c>
      <c r="C18">
        <f>C16*C17</f>
        <v>12768</v>
      </c>
    </row>
    <row r="19" spans="1:7" ht="45" customHeight="1">
      <c r="A19" t="s">
        <v>17</v>
      </c>
      <c r="C19">
        <v>0</v>
      </c>
      <c r="D19" s="7" t="s">
        <v>150</v>
      </c>
    </row>
    <row r="21" spans="1:7">
      <c r="A21" t="s">
        <v>18</v>
      </c>
      <c r="B21" t="s">
        <v>15</v>
      </c>
      <c r="C21" s="8">
        <f>1-C17</f>
        <v>0</v>
      </c>
    </row>
    <row r="22" spans="1:7">
      <c r="A22" t="s">
        <v>19</v>
      </c>
      <c r="C22">
        <f>C16*C21/C23</f>
        <v>0</v>
      </c>
    </row>
    <row r="23" spans="1:7">
      <c r="A23" t="s">
        <v>20</v>
      </c>
      <c r="B23" t="s">
        <v>15</v>
      </c>
      <c r="C23" s="58">
        <v>1</v>
      </c>
      <c r="D23" t="s">
        <v>137</v>
      </c>
    </row>
    <row r="24" spans="1:7">
      <c r="A24" t="s">
        <v>21</v>
      </c>
      <c r="B24" t="s">
        <v>15</v>
      </c>
      <c r="C24" s="58">
        <v>0.05</v>
      </c>
    </row>
    <row r="25" spans="1:7">
      <c r="A25" t="s">
        <v>22</v>
      </c>
      <c r="B25" t="s">
        <v>23</v>
      </c>
      <c r="C25">
        <v>1</v>
      </c>
      <c r="D25" t="s">
        <v>151</v>
      </c>
    </row>
    <row r="26" spans="1:7">
      <c r="A26" t="s">
        <v>135</v>
      </c>
      <c r="B26" t="s">
        <v>15</v>
      </c>
      <c r="C26" s="60">
        <f>IF(C22&gt;0,C27/C22,0)</f>
        <v>0</v>
      </c>
    </row>
    <row r="27" spans="1:7">
      <c r="A27" t="s">
        <v>136</v>
      </c>
      <c r="B27" t="s">
        <v>13</v>
      </c>
      <c r="C27" s="61">
        <f>C22*C24*(1+C24)^(C28-C25)/((1+C24)^(C28-C25)-1)</f>
        <v>0</v>
      </c>
      <c r="D27" s="62" t="s">
        <v>152</v>
      </c>
    </row>
    <row r="28" spans="1:7">
      <c r="A28" t="s">
        <v>142</v>
      </c>
      <c r="B28" t="s">
        <v>143</v>
      </c>
      <c r="C28" s="55">
        <v>15</v>
      </c>
      <c r="D28" t="s">
        <v>144</v>
      </c>
    </row>
    <row r="30" spans="1:7">
      <c r="A30" t="s">
        <v>24</v>
      </c>
      <c r="B30" t="s">
        <v>13</v>
      </c>
      <c r="C30" s="55">
        <v>20</v>
      </c>
    </row>
    <row r="31" spans="1:7">
      <c r="A31" t="s">
        <v>25</v>
      </c>
      <c r="B31" t="s">
        <v>15</v>
      </c>
      <c r="C31" s="59">
        <v>3.0000000000000001E-3</v>
      </c>
      <c r="D31" t="s">
        <v>26</v>
      </c>
      <c r="E31" s="9">
        <f>0.003*C16</f>
        <v>38.304000000000002</v>
      </c>
      <c r="F31" t="s">
        <v>13</v>
      </c>
      <c r="G31" t="s">
        <v>130</v>
      </c>
    </row>
    <row r="32" spans="1:7">
      <c r="A32" t="s">
        <v>27</v>
      </c>
      <c r="B32" t="s">
        <v>15</v>
      </c>
      <c r="C32" s="58">
        <v>0.2</v>
      </c>
      <c r="D32" t="s">
        <v>26</v>
      </c>
    </row>
    <row r="33" spans="1:4">
      <c r="A33" t="s">
        <v>28</v>
      </c>
      <c r="B33" t="s">
        <v>15</v>
      </c>
      <c r="C33" s="58">
        <v>0.05</v>
      </c>
      <c r="D33" t="s">
        <v>26</v>
      </c>
    </row>
    <row r="34" spans="1:4">
      <c r="A34" t="s">
        <v>29</v>
      </c>
      <c r="C34">
        <v>20</v>
      </c>
      <c r="D34" t="s">
        <v>30</v>
      </c>
    </row>
  </sheetData>
  <hyperlinks>
    <hyperlink ref="D27" r:id="rId1" display="http://de.wikipedia.org/wiki/Annuit%C3%A4tendarlehen  " xr:uid="{AC133E39-CB52-4F99-BE0A-28E1D0244EC5}"/>
  </hyperlinks>
  <pageMargins left="0.7" right="0.7" top="0.75" bottom="0.75" header="0.3" footer="0.3"/>
  <pageSetup paperSize="9" orientation="portrait" r:id="rId2"/>
  <headerFooter>
    <oddHeader>&amp;L&amp;"Calibri"&amp;10&amp;K000000Classified&amp;1#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B7621-69CF-4F9D-A82F-D6AF911D58BF}">
  <dimension ref="A1:AA140"/>
  <sheetViews>
    <sheetView topLeftCell="G36" zoomScale="69" zoomScaleNormal="69" workbookViewId="0">
      <selection activeCell="X38" sqref="X38"/>
    </sheetView>
  </sheetViews>
  <sheetFormatPr defaultRowHeight="14.4"/>
  <cols>
    <col min="1" max="1" width="39.21875" customWidth="1"/>
    <col min="2" max="2" width="11.5546875" customWidth="1"/>
    <col min="3" max="3" width="16.33203125" customWidth="1"/>
    <col min="4" max="23" width="14.77734375" customWidth="1"/>
    <col min="24" max="24" width="18" customWidth="1"/>
    <col min="25" max="25" width="16.6640625" customWidth="1"/>
    <col min="26" max="26" width="19.88671875" customWidth="1"/>
    <col min="27" max="27" width="16" customWidth="1"/>
  </cols>
  <sheetData>
    <row r="1" spans="1:27">
      <c r="A1" s="1" t="s">
        <v>132</v>
      </c>
    </row>
    <row r="2" spans="1:27">
      <c r="A2" s="2" t="s">
        <v>0</v>
      </c>
    </row>
    <row r="3" spans="1:27">
      <c r="A3" s="2" t="s">
        <v>1</v>
      </c>
    </row>
    <row r="4" spans="1:27">
      <c r="A4" s="2" t="s">
        <v>31</v>
      </c>
    </row>
    <row r="5" spans="1:27">
      <c r="A5" s="2" t="s">
        <v>32</v>
      </c>
    </row>
    <row r="6" spans="1:27" ht="15.6">
      <c r="A6" s="10"/>
      <c r="B6" s="3"/>
      <c r="C6" s="3"/>
      <c r="D6" s="3"/>
      <c r="E6" s="3"/>
      <c r="F6" s="3"/>
      <c r="G6" s="3"/>
      <c r="H6" s="3"/>
      <c r="I6" s="3"/>
      <c r="J6" s="3"/>
      <c r="K6" s="3"/>
      <c r="L6" s="3"/>
      <c r="M6" s="3"/>
      <c r="N6" s="3"/>
      <c r="O6" s="3"/>
      <c r="P6" s="3"/>
      <c r="Q6" s="3"/>
      <c r="R6" s="3"/>
      <c r="S6" s="3"/>
      <c r="T6" s="3"/>
      <c r="U6" s="3"/>
      <c r="V6" s="3"/>
      <c r="W6" s="3"/>
      <c r="X6" s="11"/>
      <c r="Y6" s="3"/>
      <c r="Z6" s="3"/>
      <c r="AA6" s="3"/>
    </row>
    <row r="7" spans="1:27" ht="15.6">
      <c r="A7" s="12"/>
      <c r="B7" s="13"/>
      <c r="C7" s="14" t="s">
        <v>33</v>
      </c>
      <c r="D7" s="13"/>
      <c r="E7" s="13"/>
      <c r="F7" s="13"/>
      <c r="G7" s="13"/>
      <c r="H7" s="13"/>
      <c r="I7" s="13"/>
      <c r="J7" s="13"/>
      <c r="K7" s="13"/>
      <c r="L7" s="13"/>
      <c r="M7" s="13"/>
      <c r="N7" s="13"/>
      <c r="O7" s="13"/>
      <c r="P7" s="13"/>
      <c r="Q7" s="13"/>
      <c r="R7" s="13"/>
      <c r="S7" s="13"/>
      <c r="T7" s="13"/>
      <c r="U7" s="13"/>
      <c r="V7" s="13"/>
      <c r="W7" s="13"/>
      <c r="X7" s="15"/>
      <c r="Y7" s="3"/>
      <c r="Z7" s="3"/>
      <c r="AA7" s="3"/>
    </row>
    <row r="8" spans="1:27" ht="15.6">
      <c r="A8" s="12"/>
      <c r="B8" s="13"/>
      <c r="C8" s="16">
        <v>0</v>
      </c>
      <c r="D8" s="16">
        <v>1</v>
      </c>
      <c r="E8" s="16">
        <v>2</v>
      </c>
      <c r="F8" s="16">
        <v>3</v>
      </c>
      <c r="G8" s="16">
        <v>4</v>
      </c>
      <c r="H8" s="16">
        <v>5</v>
      </c>
      <c r="I8" s="16">
        <v>6</v>
      </c>
      <c r="J8" s="16">
        <v>7</v>
      </c>
      <c r="K8" s="16">
        <v>8</v>
      </c>
      <c r="L8" s="16">
        <v>9</v>
      </c>
      <c r="M8" s="16">
        <v>10</v>
      </c>
      <c r="N8" s="16">
        <v>11</v>
      </c>
      <c r="O8" s="16">
        <v>12</v>
      </c>
      <c r="P8" s="16">
        <v>13</v>
      </c>
      <c r="Q8" s="16">
        <v>14</v>
      </c>
      <c r="R8" s="16">
        <v>15</v>
      </c>
      <c r="S8" s="16">
        <v>16</v>
      </c>
      <c r="T8" s="16">
        <v>17</v>
      </c>
      <c r="U8" s="16">
        <v>18</v>
      </c>
      <c r="V8" s="16">
        <v>19</v>
      </c>
      <c r="W8" s="16">
        <v>20</v>
      </c>
      <c r="X8" s="15" t="s">
        <v>34</v>
      </c>
      <c r="Y8" s="3"/>
      <c r="Z8" s="3"/>
      <c r="AA8" s="3"/>
    </row>
    <row r="9" spans="1:27" ht="15.6">
      <c r="A9" s="17" t="s">
        <v>35</v>
      </c>
      <c r="B9" s="13" t="s">
        <v>36</v>
      </c>
      <c r="C9" s="16">
        <f>0.7*Modelldaten!$C$6*Modelldaten!$C$7*(1-C8*Modelldaten!$C$8)</f>
        <v>4468.8</v>
      </c>
      <c r="D9" s="16">
        <f>Modelldaten!$C$6*Modelldaten!$C$7</f>
        <v>6384</v>
      </c>
      <c r="E9" s="16">
        <f>Modelldaten!$C$6*Modelldaten!$C$7*(1-D8*Modelldaten!$C$8)</f>
        <v>6352.08</v>
      </c>
      <c r="F9" s="16">
        <f>Modelldaten!$C$6*Modelldaten!$C$7*(1-E8*Modelldaten!$C$8)</f>
        <v>6320.16</v>
      </c>
      <c r="G9" s="16">
        <f>Modelldaten!$C$6*Modelldaten!$C$7*(1-F8*Modelldaten!$C$8)</f>
        <v>6288.24</v>
      </c>
      <c r="H9" s="16">
        <f>Modelldaten!$C$6*Modelldaten!$C$7*(1-G8*Modelldaten!$C$8)</f>
        <v>6256.32</v>
      </c>
      <c r="I9" s="16">
        <f>Modelldaten!$C$6*Modelldaten!$C$7*(1-H8*Modelldaten!$C$8)</f>
        <v>6224.4</v>
      </c>
      <c r="J9" s="16">
        <f>Modelldaten!$C$6*Modelldaten!$C$7*(1-I8*Modelldaten!$C$8)</f>
        <v>6192.48</v>
      </c>
      <c r="K9" s="16">
        <f>Modelldaten!$C$6*Modelldaten!$C$7*(1-J8*Modelldaten!$C$8)</f>
        <v>6160.5599999999995</v>
      </c>
      <c r="L9" s="16">
        <f>Modelldaten!$C$6*Modelldaten!$C$7*(1-K8*Modelldaten!$C$8)</f>
        <v>6128.6399999999994</v>
      </c>
      <c r="M9" s="16">
        <f>Modelldaten!$C$6*Modelldaten!$C$7*(1-L8*Modelldaten!$C$8)</f>
        <v>6096.7199999999993</v>
      </c>
      <c r="N9" s="16">
        <f>Modelldaten!$C$6*Modelldaten!$C$7*(1-M8*Modelldaten!$C$8)</f>
        <v>6064.7999999999993</v>
      </c>
      <c r="O9" s="16">
        <f>Modelldaten!$C$6*Modelldaten!$C$7*(1-N8*Modelldaten!$C$8)</f>
        <v>6032.88</v>
      </c>
      <c r="P9" s="16">
        <f>Modelldaten!$C$6*Modelldaten!$C$7*(1-O8*Modelldaten!$C$8)</f>
        <v>6000.96</v>
      </c>
      <c r="Q9" s="16">
        <f>Modelldaten!$C$6*Modelldaten!$C$7*(1-P8*Modelldaten!$C$8)</f>
        <v>5969.04</v>
      </c>
      <c r="R9" s="16">
        <f>Modelldaten!$C$6*Modelldaten!$C$7*(1-Q8*Modelldaten!$C$8)</f>
        <v>5937.12</v>
      </c>
      <c r="S9" s="16">
        <f>Modelldaten!$C$6*Modelldaten!$C$7*(1-R8*Modelldaten!$C$8)</f>
        <v>5905.2000000000007</v>
      </c>
      <c r="T9" s="16">
        <f>Modelldaten!$C$6*Modelldaten!$C$7*(1-S8*Modelldaten!$C$8)</f>
        <v>5873.2800000000007</v>
      </c>
      <c r="U9" s="16">
        <f>Modelldaten!$C$6*Modelldaten!$C$7*(1-T8*Modelldaten!$C$8)</f>
        <v>5841.3600000000006</v>
      </c>
      <c r="V9" s="16">
        <f>Modelldaten!$C$6*Modelldaten!$C$7*(1-U8*Modelldaten!$C$8)</f>
        <v>5809.4400000000005</v>
      </c>
      <c r="W9" s="16">
        <f>Modelldaten!$C$6*Modelldaten!$C$7*(1-V8*Modelldaten!$C$8)</f>
        <v>5777.52</v>
      </c>
      <c r="X9" s="18">
        <f>SUM(C9:W9)</f>
        <v>126084</v>
      </c>
      <c r="Y9" s="3"/>
      <c r="Z9" s="3"/>
      <c r="AA9" s="3"/>
    </row>
    <row r="10" spans="1:27" ht="15.6">
      <c r="A10" s="12" t="s">
        <v>37</v>
      </c>
      <c r="B10" s="13" t="s">
        <v>36</v>
      </c>
      <c r="C10" s="16">
        <f>C9*Modelldaten!$C$13</f>
        <v>1117.2</v>
      </c>
      <c r="D10" s="16">
        <f>D9*Modelldaten!$C$13</f>
        <v>1596</v>
      </c>
      <c r="E10" s="16">
        <f>E9*Modelldaten!$C$13</f>
        <v>1588.02</v>
      </c>
      <c r="F10" s="16">
        <f>F9*Modelldaten!$C$13</f>
        <v>1580.04</v>
      </c>
      <c r="G10" s="16">
        <f>G9*Modelldaten!$C$13</f>
        <v>1572.06</v>
      </c>
      <c r="H10" s="16">
        <f>H9*Modelldaten!$C$13</f>
        <v>1564.08</v>
      </c>
      <c r="I10" s="16">
        <f>I9*Modelldaten!$C$13</f>
        <v>1556.1</v>
      </c>
      <c r="J10" s="16">
        <f>J9*Modelldaten!$C$13</f>
        <v>1548.12</v>
      </c>
      <c r="K10" s="16">
        <f>K9*Modelldaten!$C$13</f>
        <v>1540.1399999999999</v>
      </c>
      <c r="L10" s="16">
        <f>L9*Modelldaten!$C$13</f>
        <v>1532.1599999999999</v>
      </c>
      <c r="M10" s="16">
        <f>M9*Modelldaten!$C$13</f>
        <v>1524.1799999999998</v>
      </c>
      <c r="N10" s="16">
        <f>N9*Modelldaten!$C$13</f>
        <v>1516.1999999999998</v>
      </c>
      <c r="O10" s="16">
        <f>O9*Modelldaten!$C$13</f>
        <v>1508.22</v>
      </c>
      <c r="P10" s="16">
        <f>P9*Modelldaten!$C$13</f>
        <v>1500.24</v>
      </c>
      <c r="Q10" s="16">
        <f>Q9*Modelldaten!$C$13</f>
        <v>1492.26</v>
      </c>
      <c r="R10" s="16">
        <f>R9*Modelldaten!$C$13</f>
        <v>1484.28</v>
      </c>
      <c r="S10" s="16">
        <f>S9*Modelldaten!$C$13</f>
        <v>1476.3000000000002</v>
      </c>
      <c r="T10" s="16">
        <f>T9*Modelldaten!$C$13</f>
        <v>1468.3200000000002</v>
      </c>
      <c r="U10" s="16">
        <f>U9*Modelldaten!$C$13</f>
        <v>1460.3400000000001</v>
      </c>
      <c r="V10" s="16">
        <f>V9*Modelldaten!$C$13</f>
        <v>1452.3600000000001</v>
      </c>
      <c r="W10" s="16">
        <f>W9*Modelldaten!$C$13</f>
        <v>1444.38</v>
      </c>
      <c r="X10" s="18">
        <f>SUM(C10:W10)</f>
        <v>31521</v>
      </c>
      <c r="Y10" s="3"/>
      <c r="Z10" s="3"/>
      <c r="AA10" s="3"/>
    </row>
    <row r="11" spans="1:27" ht="15.6">
      <c r="A11" s="12" t="s">
        <v>38</v>
      </c>
      <c r="B11" s="13" t="s">
        <v>36</v>
      </c>
      <c r="C11" s="16">
        <f>C9-C10</f>
        <v>3351.6000000000004</v>
      </c>
      <c r="D11" s="16">
        <f t="shared" ref="D11:W11" si="0">D9-D10</f>
        <v>4788</v>
      </c>
      <c r="E11" s="16">
        <f t="shared" si="0"/>
        <v>4764.0599999999995</v>
      </c>
      <c r="F11" s="16">
        <f t="shared" si="0"/>
        <v>4740.12</v>
      </c>
      <c r="G11" s="16">
        <f t="shared" si="0"/>
        <v>4716.18</v>
      </c>
      <c r="H11" s="16">
        <f t="shared" si="0"/>
        <v>4692.24</v>
      </c>
      <c r="I11" s="16">
        <f t="shared" si="0"/>
        <v>4668.2999999999993</v>
      </c>
      <c r="J11" s="16">
        <f t="shared" si="0"/>
        <v>4644.3599999999997</v>
      </c>
      <c r="K11" s="16">
        <f t="shared" si="0"/>
        <v>4620.42</v>
      </c>
      <c r="L11" s="16">
        <f t="shared" si="0"/>
        <v>4596.4799999999996</v>
      </c>
      <c r="M11" s="16">
        <f t="shared" si="0"/>
        <v>4572.5399999999991</v>
      </c>
      <c r="N11" s="16">
        <f t="shared" si="0"/>
        <v>4548.5999999999995</v>
      </c>
      <c r="O11" s="16">
        <f t="shared" si="0"/>
        <v>4524.66</v>
      </c>
      <c r="P11" s="16">
        <f t="shared" si="0"/>
        <v>4500.72</v>
      </c>
      <c r="Q11" s="16">
        <f t="shared" si="0"/>
        <v>4476.78</v>
      </c>
      <c r="R11" s="16">
        <f t="shared" si="0"/>
        <v>4452.84</v>
      </c>
      <c r="S11" s="16">
        <f t="shared" si="0"/>
        <v>4428.9000000000005</v>
      </c>
      <c r="T11" s="16">
        <f t="shared" si="0"/>
        <v>4404.9600000000009</v>
      </c>
      <c r="U11" s="16">
        <f t="shared" si="0"/>
        <v>4381.0200000000004</v>
      </c>
      <c r="V11" s="16">
        <f t="shared" si="0"/>
        <v>4357.08</v>
      </c>
      <c r="W11" s="16">
        <f t="shared" si="0"/>
        <v>4333.1400000000003</v>
      </c>
      <c r="X11" s="18">
        <f>SUM(C11:W11)</f>
        <v>94563</v>
      </c>
      <c r="Y11" s="3"/>
      <c r="Z11" s="3"/>
      <c r="AA11" s="3"/>
    </row>
    <row r="12" spans="1:27" ht="15.6">
      <c r="A12" s="12" t="s">
        <v>39</v>
      </c>
      <c r="B12" s="13" t="s">
        <v>6</v>
      </c>
      <c r="C12" s="16">
        <f>C9/Modelldaten!$C$6</f>
        <v>665</v>
      </c>
      <c r="D12" s="16">
        <f>D9/Modelldaten!$C$6</f>
        <v>950</v>
      </c>
      <c r="E12" s="16">
        <f>E9/Modelldaten!$C$6</f>
        <v>945.25</v>
      </c>
      <c r="F12" s="16">
        <f>F9/Modelldaten!$C$6</f>
        <v>940.5</v>
      </c>
      <c r="G12" s="16">
        <f>G9/Modelldaten!$C$6</f>
        <v>935.75</v>
      </c>
      <c r="H12" s="16">
        <f>H9/Modelldaten!$C$6</f>
        <v>931</v>
      </c>
      <c r="I12" s="16">
        <f>I9/Modelldaten!$C$6</f>
        <v>926.25</v>
      </c>
      <c r="J12" s="16">
        <f>J9/Modelldaten!$C$6</f>
        <v>921.5</v>
      </c>
      <c r="K12" s="16">
        <f>K9/Modelldaten!$C$6</f>
        <v>916.75</v>
      </c>
      <c r="L12" s="16">
        <f>L9/Modelldaten!$C$6</f>
        <v>912</v>
      </c>
      <c r="M12" s="16">
        <f>M9/Modelldaten!$C$6</f>
        <v>907.24999999999989</v>
      </c>
      <c r="N12" s="16">
        <f>N9/Modelldaten!$C$6</f>
        <v>902.49999999999989</v>
      </c>
      <c r="O12" s="16">
        <f>O9/Modelldaten!$C$6</f>
        <v>897.75</v>
      </c>
      <c r="P12" s="16">
        <f>P9/Modelldaten!$C$6</f>
        <v>893</v>
      </c>
      <c r="Q12" s="16">
        <f>Q9/Modelldaten!$C$6</f>
        <v>888.25</v>
      </c>
      <c r="R12" s="16">
        <f>R9/Modelldaten!$C$6</f>
        <v>883.5</v>
      </c>
      <c r="S12" s="16">
        <f>S9/Modelldaten!$C$6</f>
        <v>878.75000000000011</v>
      </c>
      <c r="T12" s="16">
        <f>T9/Modelldaten!$C$6</f>
        <v>874.00000000000011</v>
      </c>
      <c r="U12" s="16">
        <f>U9/Modelldaten!$C$6</f>
        <v>869.25000000000011</v>
      </c>
      <c r="V12" s="16">
        <f>V9/Modelldaten!$C$6</f>
        <v>864.50000000000011</v>
      </c>
      <c r="W12" s="16">
        <f>W9/Modelldaten!$C$6</f>
        <v>859.75000000000011</v>
      </c>
      <c r="X12" s="15"/>
      <c r="Y12" s="3"/>
      <c r="Z12" s="3"/>
      <c r="AA12" s="3"/>
    </row>
    <row r="13" spans="1:27" ht="15.6">
      <c r="A13" s="12"/>
      <c r="B13" s="13"/>
      <c r="C13" s="13"/>
      <c r="D13" s="13"/>
      <c r="E13" s="13"/>
      <c r="F13" s="13"/>
      <c r="G13" s="13"/>
      <c r="H13" s="13"/>
      <c r="I13" s="13"/>
      <c r="J13" s="13"/>
      <c r="K13" s="13"/>
      <c r="L13" s="13"/>
      <c r="M13" s="13"/>
      <c r="N13" s="13"/>
      <c r="O13" s="13"/>
      <c r="P13" s="13"/>
      <c r="Q13" s="13"/>
      <c r="R13" s="13"/>
      <c r="S13" s="13"/>
      <c r="T13" s="13"/>
      <c r="U13" s="13"/>
      <c r="V13" s="13"/>
      <c r="W13" s="13"/>
      <c r="X13" s="15"/>
      <c r="Y13" s="3"/>
      <c r="Z13" s="3"/>
      <c r="AA13" s="3"/>
    </row>
    <row r="14" spans="1:27" ht="15.6">
      <c r="A14" s="12" t="s">
        <v>133</v>
      </c>
      <c r="B14" s="13" t="s">
        <v>13</v>
      </c>
      <c r="C14" s="19">
        <f>Modelldaten!$C$11</f>
        <v>0.34899999999999998</v>
      </c>
      <c r="D14" s="19">
        <f>Modelldaten!$C$11*(1+Modelldaten!$C$12)^D8</f>
        <v>0.35947000000000001</v>
      </c>
      <c r="E14" s="19">
        <f>Modelldaten!$C$11*(1+Modelldaten!$C$12)^E8</f>
        <v>0.37025409999999997</v>
      </c>
      <c r="F14" s="19">
        <f>Modelldaten!$C$11*(1+Modelldaten!$C$12)^F8</f>
        <v>0.38136172299999999</v>
      </c>
      <c r="G14" s="19">
        <f>Modelldaten!$C$11*(1+Modelldaten!$C$12)^G8</f>
        <v>0.39280257468999996</v>
      </c>
      <c r="H14" s="19">
        <f>Modelldaten!$C$11*(1+Modelldaten!$C$12)^H8</f>
        <v>0.40458665193069993</v>
      </c>
      <c r="I14" s="19">
        <f>Modelldaten!$C$11*(1+Modelldaten!$C$12)^I8</f>
        <v>0.41672425148862097</v>
      </c>
      <c r="J14" s="19">
        <f>Modelldaten!$C$11*(1+Modelldaten!$C$12)^J8</f>
        <v>0.42922597903327958</v>
      </c>
      <c r="K14" s="19">
        <f>Modelldaten!$C$11*(1+Modelldaten!$C$12)^K8</f>
        <v>0.44210275840427793</v>
      </c>
      <c r="L14" s="19">
        <f>Modelldaten!$C$11*(1+Modelldaten!$C$12)^L8</f>
        <v>0.45536584115640627</v>
      </c>
      <c r="M14" s="19">
        <f>Modelldaten!$C$11*(1+Modelldaten!$C$12)^M8</f>
        <v>0.46902681639109844</v>
      </c>
      <c r="N14" s="19">
        <f>Modelldaten!$C$11*(1+Modelldaten!$C$12)^N8</f>
        <v>0.48309762088283142</v>
      </c>
      <c r="O14" s="19">
        <f>Modelldaten!$C$11*(1+Modelldaten!$C$12)^O8</f>
        <v>0.4975905495093163</v>
      </c>
      <c r="P14" s="19">
        <f>Modelldaten!$C$11*(1+Modelldaten!$C$12)^P8</f>
        <v>0.51251826599459582</v>
      </c>
      <c r="Q14" s="19">
        <f>Modelldaten!$C$11*(1+Modelldaten!$C$12)^Q8</f>
        <v>0.52789381397443369</v>
      </c>
      <c r="R14" s="19">
        <f>Modelldaten!$C$11*(1+Modelldaten!$C$12)^R8</f>
        <v>0.5437306283936667</v>
      </c>
      <c r="S14" s="19">
        <f>Modelldaten!$C$11*(1+Modelldaten!$C$12)^S8</f>
        <v>0.56004254724547664</v>
      </c>
      <c r="T14" s="19">
        <f>Modelldaten!$C$11*(1+Modelldaten!$C$12)^T8</f>
        <v>0.57684382366284093</v>
      </c>
      <c r="U14" s="19">
        <f>Modelldaten!$C$11*(1+Modelldaten!$C$12)^U8</f>
        <v>0.5941491383727262</v>
      </c>
      <c r="V14" s="19">
        <f>Modelldaten!$C$11*(1+Modelldaten!$C$12)^V8</f>
        <v>0.61197361252390792</v>
      </c>
      <c r="W14" s="19">
        <f>Modelldaten!$C$11*(1+Modelldaten!$C$12)^W8</f>
        <v>0.63033282089962517</v>
      </c>
      <c r="X14" s="15"/>
      <c r="Y14" s="3"/>
      <c r="Z14" s="3"/>
      <c r="AA14" s="3"/>
    </row>
    <row r="15" spans="1:27" ht="15.6">
      <c r="A15" s="12" t="s">
        <v>40</v>
      </c>
      <c r="B15" s="13" t="s">
        <v>13</v>
      </c>
      <c r="C15" s="19">
        <f>Modelldaten!$C$10</f>
        <v>8.1199999999999994E-2</v>
      </c>
      <c r="D15" s="19">
        <f>Modelldaten!$C$10</f>
        <v>8.1199999999999994E-2</v>
      </c>
      <c r="E15" s="19">
        <f>Modelldaten!$C$10</f>
        <v>8.1199999999999994E-2</v>
      </c>
      <c r="F15" s="19">
        <f>Modelldaten!$C$10</f>
        <v>8.1199999999999994E-2</v>
      </c>
      <c r="G15" s="19">
        <f>Modelldaten!$C$10</f>
        <v>8.1199999999999994E-2</v>
      </c>
      <c r="H15" s="19">
        <f>Modelldaten!$C$10</f>
        <v>8.1199999999999994E-2</v>
      </c>
      <c r="I15" s="19">
        <f>Modelldaten!$C$10</f>
        <v>8.1199999999999994E-2</v>
      </c>
      <c r="J15" s="19">
        <f>Modelldaten!$C$10</f>
        <v>8.1199999999999994E-2</v>
      </c>
      <c r="K15" s="19">
        <f>Modelldaten!$C$10</f>
        <v>8.1199999999999994E-2</v>
      </c>
      <c r="L15" s="19">
        <f>Modelldaten!$C$10</f>
        <v>8.1199999999999994E-2</v>
      </c>
      <c r="M15" s="19">
        <f>Modelldaten!$C$10</f>
        <v>8.1199999999999994E-2</v>
      </c>
      <c r="N15" s="19">
        <f>Modelldaten!$C$10</f>
        <v>8.1199999999999994E-2</v>
      </c>
      <c r="O15" s="19">
        <f>Modelldaten!$C$10</f>
        <v>8.1199999999999994E-2</v>
      </c>
      <c r="P15" s="19">
        <f>Modelldaten!$C$10</f>
        <v>8.1199999999999994E-2</v>
      </c>
      <c r="Q15" s="19">
        <f>Modelldaten!$C$10</f>
        <v>8.1199999999999994E-2</v>
      </c>
      <c r="R15" s="19">
        <f>Modelldaten!$C$10</f>
        <v>8.1199999999999994E-2</v>
      </c>
      <c r="S15" s="19">
        <f>Modelldaten!$C$10</f>
        <v>8.1199999999999994E-2</v>
      </c>
      <c r="T15" s="19">
        <f>Modelldaten!$C$10</f>
        <v>8.1199999999999994E-2</v>
      </c>
      <c r="U15" s="19">
        <f>Modelldaten!$C$10</f>
        <v>8.1199999999999994E-2</v>
      </c>
      <c r="V15" s="19">
        <f>Modelldaten!$C$10</f>
        <v>8.1199999999999994E-2</v>
      </c>
      <c r="W15" s="19">
        <f>Modelldaten!$C$10</f>
        <v>8.1199999999999994E-2</v>
      </c>
      <c r="X15" s="15"/>
      <c r="Y15" s="3"/>
      <c r="Z15" s="3"/>
      <c r="AA15" s="3"/>
    </row>
    <row r="16" spans="1:27" ht="15.6">
      <c r="A16" s="12"/>
      <c r="B16" s="13"/>
      <c r="C16" s="13"/>
      <c r="D16" s="13"/>
      <c r="E16" s="13"/>
      <c r="F16" s="13"/>
      <c r="G16" s="13"/>
      <c r="H16" s="13"/>
      <c r="I16" s="13"/>
      <c r="J16" s="13"/>
      <c r="K16" s="13"/>
      <c r="L16" s="13"/>
      <c r="M16" s="13"/>
      <c r="N16" s="13"/>
      <c r="O16" s="13"/>
      <c r="P16" s="13"/>
      <c r="Q16" s="13"/>
      <c r="R16" s="13"/>
      <c r="S16" s="13"/>
      <c r="T16" s="13"/>
      <c r="U16" s="13"/>
      <c r="V16" s="13"/>
      <c r="W16" s="13"/>
      <c r="X16" s="20"/>
      <c r="Y16" s="3"/>
      <c r="Z16" s="3"/>
      <c r="AA16" s="3"/>
    </row>
    <row r="17" spans="1:27" ht="15.6">
      <c r="A17" s="17" t="s">
        <v>41</v>
      </c>
      <c r="B17" s="13"/>
      <c r="C17" s="13"/>
      <c r="D17" s="13"/>
      <c r="E17" s="13"/>
      <c r="F17" s="13"/>
      <c r="G17" s="13"/>
      <c r="H17" s="13"/>
      <c r="I17" s="13"/>
      <c r="J17" s="13"/>
      <c r="K17" s="13"/>
      <c r="L17" s="13"/>
      <c r="M17" s="13"/>
      <c r="N17" s="13"/>
      <c r="O17" s="13"/>
      <c r="P17" s="13"/>
      <c r="Q17" s="13"/>
      <c r="R17" s="13"/>
      <c r="S17" s="13"/>
      <c r="T17" s="13"/>
      <c r="U17" s="13"/>
      <c r="V17" s="13"/>
      <c r="W17" s="13"/>
      <c r="X17" s="20"/>
      <c r="Y17" s="3"/>
      <c r="Z17" s="3"/>
      <c r="AA17" s="3"/>
    </row>
    <row r="18" spans="1:27" ht="15.6">
      <c r="A18" s="12" t="s">
        <v>42</v>
      </c>
      <c r="B18" s="13" t="s">
        <v>13</v>
      </c>
      <c r="C18" s="21">
        <f>C10*C14</f>
        <v>389.90280000000001</v>
      </c>
      <c r="D18" s="21">
        <f t="shared" ref="D18:W19" si="1">D10*D14</f>
        <v>573.71411999999998</v>
      </c>
      <c r="E18" s="21">
        <f t="shared" si="1"/>
        <v>587.97091588199999</v>
      </c>
      <c r="F18" s="21">
        <f t="shared" si="1"/>
        <v>602.56677680891994</v>
      </c>
      <c r="G18" s="21">
        <f t="shared" si="1"/>
        <v>617.50921556716128</v>
      </c>
      <c r="H18" s="21">
        <f t="shared" si="1"/>
        <v>632.80589055176915</v>
      </c>
      <c r="I18" s="21">
        <f t="shared" si="1"/>
        <v>648.46460774144305</v>
      </c>
      <c r="J18" s="21">
        <f t="shared" si="1"/>
        <v>664.49332266100078</v>
      </c>
      <c r="K18" s="21">
        <f t="shared" si="1"/>
        <v>680.90014232876456</v>
      </c>
      <c r="L18" s="21">
        <f t="shared" si="1"/>
        <v>697.69332718619933</v>
      </c>
      <c r="M18" s="21">
        <f t="shared" si="1"/>
        <v>714.88129300698438</v>
      </c>
      <c r="N18" s="21">
        <f t="shared" si="1"/>
        <v>732.47261278254894</v>
      </c>
      <c r="O18" s="21">
        <f t="shared" si="1"/>
        <v>750.47601858094106</v>
      </c>
      <c r="P18" s="21">
        <f t="shared" si="1"/>
        <v>768.90040337573248</v>
      </c>
      <c r="Q18" s="21">
        <f t="shared" si="1"/>
        <v>787.75482284148836</v>
      </c>
      <c r="R18" s="21">
        <f t="shared" si="1"/>
        <v>807.04849711215161</v>
      </c>
      <c r="S18" s="21">
        <f t="shared" si="1"/>
        <v>826.7908124984973</v>
      </c>
      <c r="T18" s="21">
        <f t="shared" si="1"/>
        <v>846.99132316062264</v>
      </c>
      <c r="U18" s="21">
        <f t="shared" si="1"/>
        <v>867.65975273122706</v>
      </c>
      <c r="V18" s="21">
        <f t="shared" si="1"/>
        <v>888.80599588522296</v>
      </c>
      <c r="W18" s="21">
        <f t="shared" si="1"/>
        <v>910.44011985100065</v>
      </c>
      <c r="X18" s="20">
        <f>SUM(C18:W18)</f>
        <v>14998.242770553676</v>
      </c>
      <c r="Y18" s="3"/>
      <c r="Z18" s="3"/>
      <c r="AA18" s="3"/>
    </row>
    <row r="19" spans="1:27" ht="15.6">
      <c r="A19" s="12" t="s">
        <v>43</v>
      </c>
      <c r="B19" s="13" t="s">
        <v>13</v>
      </c>
      <c r="C19" s="21">
        <f>C11*C15</f>
        <v>272.14992000000001</v>
      </c>
      <c r="D19" s="21">
        <f t="shared" si="1"/>
        <v>388.78559999999999</v>
      </c>
      <c r="E19" s="21">
        <f t="shared" si="1"/>
        <v>386.84167199999996</v>
      </c>
      <c r="F19" s="21">
        <f t="shared" si="1"/>
        <v>384.89774399999999</v>
      </c>
      <c r="G19" s="21">
        <f t="shared" si="1"/>
        <v>382.95381600000002</v>
      </c>
      <c r="H19" s="21">
        <f t="shared" si="1"/>
        <v>381.00988799999993</v>
      </c>
      <c r="I19" s="21">
        <f t="shared" si="1"/>
        <v>379.0659599999999</v>
      </c>
      <c r="J19" s="21">
        <f t="shared" si="1"/>
        <v>377.12203199999993</v>
      </c>
      <c r="K19" s="21">
        <f t="shared" si="1"/>
        <v>375.17810399999996</v>
      </c>
      <c r="L19" s="21">
        <f t="shared" si="1"/>
        <v>373.23417599999993</v>
      </c>
      <c r="M19" s="21">
        <f t="shared" si="1"/>
        <v>371.29024799999991</v>
      </c>
      <c r="N19" s="21">
        <f t="shared" si="1"/>
        <v>369.34631999999993</v>
      </c>
      <c r="O19" s="21">
        <f t="shared" si="1"/>
        <v>367.40239199999996</v>
      </c>
      <c r="P19" s="21">
        <f t="shared" si="1"/>
        <v>365.45846399999999</v>
      </c>
      <c r="Q19" s="21">
        <f t="shared" si="1"/>
        <v>363.51453599999996</v>
      </c>
      <c r="R19" s="21">
        <f t="shared" si="1"/>
        <v>361.57060799999999</v>
      </c>
      <c r="S19" s="21">
        <f t="shared" si="1"/>
        <v>359.62668000000002</v>
      </c>
      <c r="T19" s="21">
        <f t="shared" si="1"/>
        <v>357.68275200000005</v>
      </c>
      <c r="U19" s="21">
        <f t="shared" si="1"/>
        <v>355.73882400000002</v>
      </c>
      <c r="V19" s="21">
        <f t="shared" si="1"/>
        <v>353.79489599999999</v>
      </c>
      <c r="W19" s="21">
        <f t="shared" si="1"/>
        <v>351.85096800000002</v>
      </c>
      <c r="X19" s="20">
        <f>SUM(C19:W19)</f>
        <v>7678.5155999999988</v>
      </c>
      <c r="Y19" s="3"/>
      <c r="Z19" s="3"/>
      <c r="AA19" s="3"/>
    </row>
    <row r="20" spans="1:27" ht="15.6">
      <c r="A20" s="12" t="s">
        <v>44</v>
      </c>
      <c r="B20" s="13" t="s">
        <v>13</v>
      </c>
      <c r="C20" s="21">
        <f t="shared" ref="C20:W20" si="2">SUM(C18:C19)</f>
        <v>662.05272000000002</v>
      </c>
      <c r="D20" s="21">
        <f t="shared" si="2"/>
        <v>962.49972000000002</v>
      </c>
      <c r="E20" s="21">
        <f t="shared" si="2"/>
        <v>974.81258788199989</v>
      </c>
      <c r="F20" s="21">
        <f t="shared" si="2"/>
        <v>987.46452080891993</v>
      </c>
      <c r="G20" s="21">
        <f t="shared" si="2"/>
        <v>1000.4630315671614</v>
      </c>
      <c r="H20" s="21">
        <f t="shared" si="2"/>
        <v>1013.8157785517691</v>
      </c>
      <c r="I20" s="21">
        <f t="shared" si="2"/>
        <v>1027.5305677414431</v>
      </c>
      <c r="J20" s="21">
        <f t="shared" si="2"/>
        <v>1041.6153546610008</v>
      </c>
      <c r="K20" s="21">
        <f t="shared" si="2"/>
        <v>1056.0782463287646</v>
      </c>
      <c r="L20" s="21">
        <f t="shared" si="2"/>
        <v>1070.9275031861994</v>
      </c>
      <c r="M20" s="21">
        <f t="shared" si="2"/>
        <v>1086.1715410069842</v>
      </c>
      <c r="N20" s="21">
        <f t="shared" si="2"/>
        <v>1101.8189327825489</v>
      </c>
      <c r="O20" s="21">
        <f t="shared" si="2"/>
        <v>1117.8784105809409</v>
      </c>
      <c r="P20" s="21">
        <f t="shared" si="2"/>
        <v>1134.3588673757324</v>
      </c>
      <c r="Q20" s="21">
        <f t="shared" si="2"/>
        <v>1151.2693588414884</v>
      </c>
      <c r="R20" s="21">
        <f t="shared" si="2"/>
        <v>1168.6191051121516</v>
      </c>
      <c r="S20" s="21">
        <f t="shared" si="2"/>
        <v>1186.4174924984973</v>
      </c>
      <c r="T20" s="21">
        <f t="shared" si="2"/>
        <v>1204.6740751606226</v>
      </c>
      <c r="U20" s="21">
        <f t="shared" si="2"/>
        <v>1223.398576731227</v>
      </c>
      <c r="V20" s="21">
        <f t="shared" si="2"/>
        <v>1242.6008918852231</v>
      </c>
      <c r="W20" s="21">
        <f t="shared" si="2"/>
        <v>1262.2910878510006</v>
      </c>
      <c r="X20" s="20">
        <f>SUM(C20:W20)</f>
        <v>22676.758370553678</v>
      </c>
      <c r="Y20" s="3"/>
      <c r="Z20" s="3"/>
      <c r="AA20" s="3"/>
    </row>
    <row r="21" spans="1:27" ht="15.6">
      <c r="A21" s="12"/>
      <c r="B21" s="13"/>
      <c r="C21" s="13"/>
      <c r="D21" s="13"/>
      <c r="E21" s="13"/>
      <c r="F21" s="13"/>
      <c r="G21" s="13"/>
      <c r="H21" s="13"/>
      <c r="I21" s="13"/>
      <c r="J21" s="13"/>
      <c r="K21" s="13"/>
      <c r="L21" s="13"/>
      <c r="M21" s="13"/>
      <c r="N21" s="13"/>
      <c r="O21" s="13"/>
      <c r="P21" s="13"/>
      <c r="Q21" s="13"/>
      <c r="R21" s="13"/>
      <c r="S21" s="13"/>
      <c r="T21" s="13"/>
      <c r="U21" s="13"/>
      <c r="V21" s="13"/>
      <c r="W21" s="13"/>
      <c r="X21" s="20"/>
      <c r="Y21" s="3"/>
      <c r="Z21" s="3"/>
      <c r="AA21" s="3"/>
    </row>
    <row r="22" spans="1:27" ht="15.6">
      <c r="A22" s="17" t="s">
        <v>45</v>
      </c>
      <c r="B22" s="13"/>
      <c r="C22" s="13"/>
      <c r="D22" s="13"/>
      <c r="E22" s="13"/>
      <c r="F22" s="13"/>
      <c r="G22" s="13"/>
      <c r="H22" s="13"/>
      <c r="I22" s="13"/>
      <c r="J22" s="13"/>
      <c r="K22" s="13"/>
      <c r="L22" s="13"/>
      <c r="M22" s="13"/>
      <c r="N22" s="13"/>
      <c r="O22" s="13"/>
      <c r="P22" s="13"/>
      <c r="Q22" s="13"/>
      <c r="R22" s="13"/>
      <c r="S22" s="13"/>
      <c r="T22" s="13"/>
      <c r="U22" s="13"/>
      <c r="V22" s="13"/>
      <c r="W22" s="13"/>
      <c r="X22" s="20"/>
      <c r="Y22" s="3"/>
      <c r="Z22" s="3"/>
      <c r="AA22" s="3"/>
    </row>
    <row r="23" spans="1:27" ht="15.6">
      <c r="A23" s="12" t="s">
        <v>46</v>
      </c>
      <c r="B23" s="13" t="s">
        <v>13</v>
      </c>
      <c r="C23" s="21">
        <v>0</v>
      </c>
      <c r="D23" s="21">
        <f>IF(C31&gt;0,C31*Modelldaten!$C$24,0)</f>
        <v>0</v>
      </c>
      <c r="E23" s="21">
        <f>IF(D31&gt;0,D31*Modelldaten!$C$24,0)</f>
        <v>0</v>
      </c>
      <c r="F23" s="21">
        <f>IF(E31&gt;0,E31*Modelldaten!$C$24,0)</f>
        <v>0</v>
      </c>
      <c r="G23" s="21">
        <f>IF(F31&gt;0,F31*Modelldaten!$C$24,0)</f>
        <v>0</v>
      </c>
      <c r="H23" s="21">
        <f>IF(G31&gt;0,G31*Modelldaten!$C$24,0)</f>
        <v>0</v>
      </c>
      <c r="I23" s="21">
        <f>IF(H31&gt;0,H31*Modelldaten!$C$24,0)</f>
        <v>0</v>
      </c>
      <c r="J23" s="21">
        <f>IF(I31&gt;0,I31*Modelldaten!$C$24,0)</f>
        <v>0</v>
      </c>
      <c r="K23" s="21">
        <f>IF(J31&gt;0,J31*Modelldaten!$C$24,0)</f>
        <v>0</v>
      </c>
      <c r="L23" s="21">
        <f>IF(K31&gt;0,K31*Modelldaten!$C$24,0)</f>
        <v>0</v>
      </c>
      <c r="M23" s="21">
        <f>IF(L31&gt;0,L31*Modelldaten!$C$24,0)</f>
        <v>0</v>
      </c>
      <c r="N23" s="21">
        <f>IF(M31&gt;0,M31*Modelldaten!$C$24,0)</f>
        <v>0</v>
      </c>
      <c r="O23" s="21">
        <f>IF(N31&gt;0,N31*Modelldaten!$C$24,0)</f>
        <v>0</v>
      </c>
      <c r="P23" s="21">
        <f>IF(O31&gt;0,O31*Modelldaten!$C$24,0)</f>
        <v>0</v>
      </c>
      <c r="Q23" s="21">
        <f>IF(P31&gt;0,P31*Modelldaten!$C$24,0)</f>
        <v>0</v>
      </c>
      <c r="R23" s="21">
        <f>IF(Q31&gt;0,Q31*Modelldaten!$C$24,0)</f>
        <v>0</v>
      </c>
      <c r="S23" s="21">
        <f>IF(R31&gt;0,R31*Modelldaten!$C$24,0)</f>
        <v>0</v>
      </c>
      <c r="T23" s="21">
        <f>IF(S31&gt;0,S31*Modelldaten!$C$24,0)</f>
        <v>0</v>
      </c>
      <c r="U23" s="21">
        <f>IF(T31&gt;0,T31*Modelldaten!$C$24,0)</f>
        <v>0</v>
      </c>
      <c r="V23" s="21">
        <f>IF(U31&gt;0,U31*Modelldaten!$C$24,0)</f>
        <v>0</v>
      </c>
      <c r="W23" s="21">
        <f>IF(V31&gt;0,V31*Modelldaten!$C$24,0)</f>
        <v>0</v>
      </c>
      <c r="X23" s="20">
        <f>SUM(C23:V23)</f>
        <v>0</v>
      </c>
      <c r="Y23" s="3"/>
      <c r="Z23" s="3"/>
      <c r="AA23" s="3"/>
    </row>
    <row r="24" spans="1:27" ht="15.6">
      <c r="A24" s="12" t="s">
        <v>47</v>
      </c>
      <c r="B24" s="13" t="s">
        <v>13</v>
      </c>
      <c r="C24" s="21">
        <v>0</v>
      </c>
      <c r="D24" s="21">
        <v>0</v>
      </c>
      <c r="E24" s="21">
        <f>IF(D31&gt;0,IF(D31&lt;Modelldaten!$C$27-E23,D31,Modelldaten!$C$27-E23),0)</f>
        <v>0</v>
      </c>
      <c r="F24" s="21">
        <f>IF(E31&gt;0,IF(E31&lt;Modelldaten!$C$27-F23,E31,Modelldaten!$C$27-F23),0)</f>
        <v>0</v>
      </c>
      <c r="G24" s="21">
        <f>IF(F31&gt;0,IF(F31&lt;Modelldaten!$C$27-G23,F31,Modelldaten!$C$27-G23),0)</f>
        <v>0</v>
      </c>
      <c r="H24" s="21">
        <f>IF(G31&gt;0,IF(G31&lt;Modelldaten!$C$27-H23,G31,Modelldaten!$C$27-H23),0)</f>
        <v>0</v>
      </c>
      <c r="I24" s="21">
        <f>IF(H31&gt;0,IF(H31&lt;Modelldaten!$C$27-I23,H31,Modelldaten!$C$27-I23),0)</f>
        <v>0</v>
      </c>
      <c r="J24" s="21">
        <f>IF(I31&gt;0,IF(I31&lt;Modelldaten!$C$27-J23,I31,Modelldaten!$C$27-J23),0)</f>
        <v>0</v>
      </c>
      <c r="K24" s="21">
        <f>IF(J31&gt;0,IF(J31&lt;Modelldaten!$C$27-K23,J31,Modelldaten!$C$27-K23),0)</f>
        <v>0</v>
      </c>
      <c r="L24" s="21">
        <f>IF(K31&gt;0,IF(K31&lt;Modelldaten!$C$27-L23,K31,Modelldaten!$C$27-L23),0)</f>
        <v>0</v>
      </c>
      <c r="M24" s="21">
        <f>IF(L31&gt;0,IF(L31&lt;Modelldaten!$C$27-M23,L31,Modelldaten!$C$27-M23),0)</f>
        <v>0</v>
      </c>
      <c r="N24" s="21">
        <f>IF(M31&gt;0,IF(M31&lt;Modelldaten!$C$27-N23,M31,Modelldaten!$C$27-N23),0)</f>
        <v>0</v>
      </c>
      <c r="O24" s="21">
        <f>IF(N31&gt;0,IF(N31&lt;Modelldaten!$C$27-O23,N31,Modelldaten!$C$27-O23),0)</f>
        <v>0</v>
      </c>
      <c r="P24" s="21">
        <f>IF(O31&gt;0,IF(O31&lt;Modelldaten!$C$27-P23,O31,Modelldaten!$C$27-P23),0)</f>
        <v>0</v>
      </c>
      <c r="Q24" s="21">
        <f>IF(P31&gt;0,IF(P31&lt;Modelldaten!$C$27-Q23,P31,Modelldaten!$C$27-Q23),0)</f>
        <v>0</v>
      </c>
      <c r="R24" s="21">
        <f>IF(Q31&gt;0,IF(Q31&lt;Modelldaten!$C$27-R23,Q31,Modelldaten!$C$27-R23),0)</f>
        <v>0</v>
      </c>
      <c r="S24" s="21">
        <f>IF(R31&gt;0,IF(R31&lt;Modelldaten!$C$27-S23,R31,Modelldaten!$C$27-S23),0)</f>
        <v>0</v>
      </c>
      <c r="T24" s="21">
        <f>IF(S31&gt;0,IF(S31&lt;Modelldaten!$C$27-T23,S31,Modelldaten!$C$27-T23),0)</f>
        <v>0</v>
      </c>
      <c r="U24" s="21">
        <f>IF(T31&gt;0,IF(T31&lt;Modelldaten!$C$27-U23,T31,Modelldaten!$C$27-U23),0)</f>
        <v>0</v>
      </c>
      <c r="V24" s="21">
        <f>IF(U31&gt;0,IF(U31&lt;Modelldaten!$C$27-V23,U31,Modelldaten!$C$27-V23),0)</f>
        <v>0</v>
      </c>
      <c r="W24" s="21">
        <f>IF(V31&gt;0,IF(V31&lt;Modelldaten!$C$27-W23,V31,Modelldaten!$C$27-W23),0)</f>
        <v>0</v>
      </c>
      <c r="X24" s="20">
        <f>SUM(C24:V24)</f>
        <v>0</v>
      </c>
      <c r="Y24" s="3"/>
      <c r="Z24" s="3"/>
      <c r="AA24" s="3"/>
    </row>
    <row r="25" spans="1:27" ht="15.6">
      <c r="A25" s="12" t="s">
        <v>48</v>
      </c>
      <c r="B25" s="13" t="s">
        <v>13</v>
      </c>
      <c r="C25" s="21">
        <f>Modelldaten!$C$30</f>
        <v>20</v>
      </c>
      <c r="D25" s="21">
        <f>Modelldaten!$C$30</f>
        <v>20</v>
      </c>
      <c r="E25" s="21">
        <f>Modelldaten!$C$30</f>
        <v>20</v>
      </c>
      <c r="F25" s="21">
        <f>Modelldaten!$C$30</f>
        <v>20</v>
      </c>
      <c r="G25" s="21">
        <f>Modelldaten!$C$30</f>
        <v>20</v>
      </c>
      <c r="H25" s="21">
        <f>Modelldaten!$C$30</f>
        <v>20</v>
      </c>
      <c r="I25" s="21">
        <f>Modelldaten!$C$30</f>
        <v>20</v>
      </c>
      <c r="J25" s="21">
        <f>Modelldaten!$C$30</f>
        <v>20</v>
      </c>
      <c r="K25" s="21">
        <f>Modelldaten!$C$30</f>
        <v>20</v>
      </c>
      <c r="L25" s="21">
        <f>Modelldaten!$C$30</f>
        <v>20</v>
      </c>
      <c r="M25" s="21">
        <f>Modelldaten!$C$30</f>
        <v>20</v>
      </c>
      <c r="N25" s="21">
        <f>Modelldaten!$C$30</f>
        <v>20</v>
      </c>
      <c r="O25" s="21">
        <f>Modelldaten!$C$30</f>
        <v>20</v>
      </c>
      <c r="P25" s="21">
        <f>Modelldaten!$C$30</f>
        <v>20</v>
      </c>
      <c r="Q25" s="21">
        <f>Modelldaten!$C$30</f>
        <v>20</v>
      </c>
      <c r="R25" s="21">
        <f>Modelldaten!$C$30</f>
        <v>20</v>
      </c>
      <c r="S25" s="21">
        <f>Modelldaten!$C$30</f>
        <v>20</v>
      </c>
      <c r="T25" s="21">
        <f>Modelldaten!$C$30</f>
        <v>20</v>
      </c>
      <c r="U25" s="21">
        <f>Modelldaten!$C$30</f>
        <v>20</v>
      </c>
      <c r="V25" s="21">
        <f>Modelldaten!$C$30</f>
        <v>20</v>
      </c>
      <c r="W25" s="21">
        <f>Modelldaten!$C$30</f>
        <v>20</v>
      </c>
      <c r="X25" s="20">
        <f t="shared" ref="X25:X29" si="3">SUM(C25:W25)</f>
        <v>420</v>
      </c>
      <c r="Y25" s="3"/>
      <c r="Z25" s="3"/>
      <c r="AA25" s="3"/>
    </row>
    <row r="26" spans="1:27" ht="15.6">
      <c r="A26" s="12" t="s">
        <v>49</v>
      </c>
      <c r="B26" s="13" t="s">
        <v>13</v>
      </c>
      <c r="C26" s="21">
        <v>80</v>
      </c>
      <c r="D26" s="21">
        <v>80</v>
      </c>
      <c r="E26" s="21">
        <v>80</v>
      </c>
      <c r="F26" s="21">
        <v>80</v>
      </c>
      <c r="G26" s="21">
        <v>80</v>
      </c>
      <c r="H26" s="21">
        <v>80</v>
      </c>
      <c r="I26" s="21">
        <v>80</v>
      </c>
      <c r="J26" s="21">
        <v>80</v>
      </c>
      <c r="K26" s="21">
        <v>80</v>
      </c>
      <c r="L26" s="21">
        <v>80</v>
      </c>
      <c r="M26" s="21">
        <v>80</v>
      </c>
      <c r="N26" s="21">
        <v>80</v>
      </c>
      <c r="O26" s="21">
        <v>80</v>
      </c>
      <c r="P26" s="21">
        <v>80</v>
      </c>
      <c r="Q26" s="21">
        <v>80</v>
      </c>
      <c r="R26" s="21">
        <v>80</v>
      </c>
      <c r="S26" s="21">
        <v>80</v>
      </c>
      <c r="T26" s="21">
        <v>80</v>
      </c>
      <c r="U26" s="21">
        <v>80</v>
      </c>
      <c r="V26" s="21">
        <v>80</v>
      </c>
      <c r="W26" s="21">
        <v>80</v>
      </c>
      <c r="X26" s="20">
        <f t="shared" si="3"/>
        <v>1680</v>
      </c>
      <c r="Y26" s="3"/>
      <c r="Z26" s="3"/>
      <c r="AA26" s="3"/>
    </row>
    <row r="27" spans="1:27" ht="15.6">
      <c r="A27" s="12" t="s">
        <v>50</v>
      </c>
      <c r="B27" s="13" t="s">
        <v>13</v>
      </c>
      <c r="C27" s="21">
        <v>0</v>
      </c>
      <c r="D27" s="21">
        <f>(-1*$C$49)*(Modelldaten!$C$32*2/Modelldaten!$C$34)+(-1*$C$49)*(Modelldaten!$C$33/Modelldaten!$C$34)</f>
        <v>287.28000000000003</v>
      </c>
      <c r="E27" s="21">
        <f>(-1*$C$49)*(Modelldaten!$C$32*2/Modelldaten!$C$34)+(-1*$C$49)*(Modelldaten!$C$33/Modelldaten!$C$34)</f>
        <v>287.28000000000003</v>
      </c>
      <c r="F27" s="21">
        <f>(-1*$C$49)*(Modelldaten!$C$32*2/Modelldaten!$C$34)+(-1*$C$49)*(Modelldaten!$C$33/Modelldaten!$C$34)</f>
        <v>287.28000000000003</v>
      </c>
      <c r="G27" s="21">
        <f>(-1*$C$49)*(Modelldaten!$C$32*2/Modelldaten!$C$34)+(-1*$C$49)*(Modelldaten!$C$33/Modelldaten!$C$34)</f>
        <v>287.28000000000003</v>
      </c>
      <c r="H27" s="21">
        <f>(-1*$C$49)*(Modelldaten!$C$32*2/Modelldaten!$C$34)+(-1*$C$49)*(Modelldaten!$C$33/Modelldaten!$C$34)</f>
        <v>287.28000000000003</v>
      </c>
      <c r="I27" s="21">
        <f>(-1*$C$49)*(Modelldaten!$C$32*2/Modelldaten!$C$34)+(-1*$C$49)*(Modelldaten!$C$33/Modelldaten!$C$34)</f>
        <v>287.28000000000003</v>
      </c>
      <c r="J27" s="21">
        <f>(-1*$C$49)*(Modelldaten!$C$32*2/Modelldaten!$C$34)+(-1*$C$49)*(Modelldaten!$C$33/Modelldaten!$C$34)</f>
        <v>287.28000000000003</v>
      </c>
      <c r="K27" s="21">
        <f>(-1*$C$49)*(Modelldaten!$C$32*2/Modelldaten!$C$34)+(-1*$C$49)*(Modelldaten!$C$33/Modelldaten!$C$34)</f>
        <v>287.28000000000003</v>
      </c>
      <c r="L27" s="21">
        <f>(-1*$C$49)*(Modelldaten!$C$32*2/Modelldaten!$C$34)+(-1*$C$49)*(Modelldaten!$C$33/Modelldaten!$C$34)</f>
        <v>287.28000000000003</v>
      </c>
      <c r="M27" s="21">
        <f>(-1*$C$49)*(Modelldaten!$C$32*2/Modelldaten!$C$34)+(-1*$C$49)*(Modelldaten!$C$33/Modelldaten!$C$34)</f>
        <v>287.28000000000003</v>
      </c>
      <c r="N27" s="21">
        <f>(-1*$C$49)*(Modelldaten!$C$33/Modelldaten!$C$34)</f>
        <v>31.92</v>
      </c>
      <c r="O27" s="21">
        <f>(-1*$C$49)*(Modelldaten!$C$33/Modelldaten!$C$34)</f>
        <v>31.92</v>
      </c>
      <c r="P27" s="21">
        <f>(-1*$C$49)*(Modelldaten!$C$33/Modelldaten!$C$34)</f>
        <v>31.92</v>
      </c>
      <c r="Q27" s="21">
        <f>(-1*$C$49)*(Modelldaten!$C$33/Modelldaten!$C$34)</f>
        <v>31.92</v>
      </c>
      <c r="R27" s="21">
        <f>(-1*$C$49)*(Modelldaten!$C$33/Modelldaten!$C$34)</f>
        <v>31.92</v>
      </c>
      <c r="S27" s="21">
        <f>(-1*$C$49)*(Modelldaten!$C$33/Modelldaten!$C$34)</f>
        <v>31.92</v>
      </c>
      <c r="T27" s="21">
        <f>(-1*$C$49)*(Modelldaten!$C$33/Modelldaten!$C$34)</f>
        <v>31.92</v>
      </c>
      <c r="U27" s="21">
        <f>(-1*$C$49)*(Modelldaten!$C$33/Modelldaten!$C$34)</f>
        <v>31.92</v>
      </c>
      <c r="V27" s="21">
        <f>(-1*$C$49)*(Modelldaten!$C$33/Modelldaten!$C$34)</f>
        <v>31.92</v>
      </c>
      <c r="W27" s="21">
        <f>(-1*$C$49)*(Modelldaten!$C$33/Modelldaten!$C$34)</f>
        <v>31.92</v>
      </c>
      <c r="X27" s="20">
        <f t="shared" si="3"/>
        <v>3192.0000000000014</v>
      </c>
      <c r="Y27" s="3"/>
      <c r="Z27" s="3"/>
      <c r="AA27" s="3"/>
    </row>
    <row r="28" spans="1:27" ht="15.6">
      <c r="A28" s="12" t="s">
        <v>51</v>
      </c>
      <c r="B28" s="13" t="s">
        <v>13</v>
      </c>
      <c r="C28" s="21">
        <f>Modelldaten!$C$19*0.19*(C10*C14/1.19+12*7.95/1.19)</f>
        <v>0</v>
      </c>
      <c r="D28" s="21">
        <f>Modelldaten!$C$19*0.19*(D10*D14/1.19+12*7.95/1.19)</f>
        <v>0</v>
      </c>
      <c r="E28" s="21">
        <f>Modelldaten!$C$19*0.19*(E10*E14/1.19+12*7.95/1.19)</f>
        <v>0</v>
      </c>
      <c r="F28" s="21">
        <f>Modelldaten!$C$19*0.19*(F10*F14/1.19+12*7.95/1.19)</f>
        <v>0</v>
      </c>
      <c r="G28" s="21">
        <f>Modelldaten!$C$19*0.19*(G10*G14/1.19+12*7.95/1.19)</f>
        <v>0</v>
      </c>
      <c r="H28" s="21">
        <f>Modelldaten!$C$19*0.19*(H10*H14/1.19+12*7.95/1.19)</f>
        <v>0</v>
      </c>
      <c r="I28" s="21">
        <f>Modelldaten!$C$19*0.19*(I10*I14/1.19+12*7.95/1.19)</f>
        <v>0</v>
      </c>
      <c r="J28" s="21">
        <f>Modelldaten!$C$19*0.19*(J10*J14/1.19+12*7.95/1.19)</f>
        <v>0</v>
      </c>
      <c r="K28" s="21">
        <f>Modelldaten!$C$19*0.19*(K10*K14/1.19+12*7.95/1.19)</f>
        <v>0</v>
      </c>
      <c r="L28" s="21">
        <f>Modelldaten!$C$19*0.19*(L10*L14/1.19+12*7.95/1.19)</f>
        <v>0</v>
      </c>
      <c r="M28" s="21">
        <f>Modelldaten!$C$19*0.19*(M10*M14/1.19+12*7.95/1.19)</f>
        <v>0</v>
      </c>
      <c r="N28" s="21">
        <f>Modelldaten!$C$19*0.19*(N10*N14/1.19+12*7.95/1.19)</f>
        <v>0</v>
      </c>
      <c r="O28" s="21">
        <f>Modelldaten!$C$19*0.19*(O10*O14/1.19+12*7.95/1.19)</f>
        <v>0</v>
      </c>
      <c r="P28" s="21">
        <f>Modelldaten!$C$19*0.19*(P10*P14/1.19+12*7.95/1.19)</f>
        <v>0</v>
      </c>
      <c r="Q28" s="21">
        <f>Modelldaten!$C$19*0.19*(Q10*Q14/1.19+12*7.95/1.19)</f>
        <v>0</v>
      </c>
      <c r="R28" s="21">
        <f>Modelldaten!$C$19*0.19*(R10*R14/1.19+12*7.95/1.19)</f>
        <v>0</v>
      </c>
      <c r="S28" s="21">
        <f>Modelldaten!$C$19*0.19*(S10*S14/1.19+12*7.95/1.19)</f>
        <v>0</v>
      </c>
      <c r="T28" s="21">
        <f>Modelldaten!$C$19*0.19*(T10*T14/1.19+12*7.95/1.19)</f>
        <v>0</v>
      </c>
      <c r="U28" s="21">
        <f>Modelldaten!$C$19*0.19*(U10*U14/1.19+12*7.95/1.19)</f>
        <v>0</v>
      </c>
      <c r="V28" s="21">
        <f>Modelldaten!$C$19*0.19*(V10*V14/1.19+12*7.95/1.19)</f>
        <v>0</v>
      </c>
      <c r="W28" s="21">
        <f>Modelldaten!$C$19*0.19*(W10*W14/1.19+12*7.95/1.19)</f>
        <v>0</v>
      </c>
      <c r="X28" s="20">
        <f t="shared" si="3"/>
        <v>0</v>
      </c>
      <c r="Y28" s="3"/>
      <c r="Z28" s="3"/>
      <c r="AA28" s="3"/>
    </row>
    <row r="29" spans="1:27" ht="15.6">
      <c r="A29" s="12" t="s">
        <v>52</v>
      </c>
      <c r="B29" s="13" t="s">
        <v>13</v>
      </c>
      <c r="C29" s="21">
        <f t="shared" ref="C29:W29" si="4">SUM(C23:C28)</f>
        <v>100</v>
      </c>
      <c r="D29" s="21">
        <f t="shared" si="4"/>
        <v>387.28000000000003</v>
      </c>
      <c r="E29" s="21">
        <f t="shared" si="4"/>
        <v>387.28000000000003</v>
      </c>
      <c r="F29" s="21">
        <f t="shared" si="4"/>
        <v>387.28000000000003</v>
      </c>
      <c r="G29" s="21">
        <f t="shared" si="4"/>
        <v>387.28000000000003</v>
      </c>
      <c r="H29" s="21">
        <f t="shared" si="4"/>
        <v>387.28000000000003</v>
      </c>
      <c r="I29" s="21">
        <f t="shared" si="4"/>
        <v>387.28000000000003</v>
      </c>
      <c r="J29" s="21">
        <f t="shared" si="4"/>
        <v>387.28000000000003</v>
      </c>
      <c r="K29" s="21">
        <f t="shared" si="4"/>
        <v>387.28000000000003</v>
      </c>
      <c r="L29" s="21">
        <f t="shared" si="4"/>
        <v>387.28000000000003</v>
      </c>
      <c r="M29" s="21">
        <f t="shared" si="4"/>
        <v>387.28000000000003</v>
      </c>
      <c r="N29" s="21">
        <f t="shared" si="4"/>
        <v>131.92000000000002</v>
      </c>
      <c r="O29" s="21">
        <f t="shared" si="4"/>
        <v>131.92000000000002</v>
      </c>
      <c r="P29" s="21">
        <f t="shared" si="4"/>
        <v>131.92000000000002</v>
      </c>
      <c r="Q29" s="21">
        <f t="shared" si="4"/>
        <v>131.92000000000002</v>
      </c>
      <c r="R29" s="21">
        <f t="shared" si="4"/>
        <v>131.92000000000002</v>
      </c>
      <c r="S29" s="21">
        <f t="shared" si="4"/>
        <v>131.92000000000002</v>
      </c>
      <c r="T29" s="21">
        <f t="shared" si="4"/>
        <v>131.92000000000002</v>
      </c>
      <c r="U29" s="21">
        <f t="shared" si="4"/>
        <v>131.92000000000002</v>
      </c>
      <c r="V29" s="21">
        <f t="shared" si="4"/>
        <v>131.92000000000002</v>
      </c>
      <c r="W29" s="21">
        <f t="shared" si="4"/>
        <v>131.92000000000002</v>
      </c>
      <c r="X29" s="20">
        <f t="shared" si="3"/>
        <v>5292.0000000000018</v>
      </c>
      <c r="Y29" s="3"/>
      <c r="Z29" s="3"/>
      <c r="AA29" s="3"/>
    </row>
    <row r="30" spans="1:27" ht="15.6">
      <c r="A30" s="12"/>
      <c r="B30" s="13"/>
      <c r="C30" s="13"/>
      <c r="D30" s="13"/>
      <c r="E30" s="13"/>
      <c r="F30" s="13"/>
      <c r="G30" s="13"/>
      <c r="H30" s="13"/>
      <c r="I30" s="13"/>
      <c r="J30" s="13"/>
      <c r="K30" s="13"/>
      <c r="L30" s="13"/>
      <c r="M30" s="13"/>
      <c r="N30" s="13"/>
      <c r="O30" s="13"/>
      <c r="P30" s="13"/>
      <c r="Q30" s="13"/>
      <c r="R30" s="13"/>
      <c r="S30" s="13"/>
      <c r="T30" s="13"/>
      <c r="U30" s="13"/>
      <c r="V30" s="13"/>
      <c r="W30" s="13"/>
      <c r="X30" s="20"/>
      <c r="Y30" s="3"/>
      <c r="Z30" s="3"/>
      <c r="AA30" s="3"/>
    </row>
    <row r="31" spans="1:27" ht="15.6">
      <c r="A31" s="17" t="s">
        <v>53</v>
      </c>
      <c r="B31" s="13" t="s">
        <v>13</v>
      </c>
      <c r="C31" s="13">
        <f>Modelldaten!C22</f>
        <v>0</v>
      </c>
      <c r="D31" s="13">
        <f>Modelldaten!C22</f>
        <v>0</v>
      </c>
      <c r="E31" s="21">
        <f t="shared" ref="E31:W31" si="5">D31-E24</f>
        <v>0</v>
      </c>
      <c r="F31" s="21">
        <f t="shared" si="5"/>
        <v>0</v>
      </c>
      <c r="G31" s="21">
        <f t="shared" si="5"/>
        <v>0</v>
      </c>
      <c r="H31" s="21">
        <f t="shared" si="5"/>
        <v>0</v>
      </c>
      <c r="I31" s="21">
        <f t="shared" si="5"/>
        <v>0</v>
      </c>
      <c r="J31" s="21">
        <f t="shared" si="5"/>
        <v>0</v>
      </c>
      <c r="K31" s="21">
        <f t="shared" si="5"/>
        <v>0</v>
      </c>
      <c r="L31" s="21">
        <f t="shared" si="5"/>
        <v>0</v>
      </c>
      <c r="M31" s="21">
        <f t="shared" si="5"/>
        <v>0</v>
      </c>
      <c r="N31" s="21">
        <f t="shared" si="5"/>
        <v>0</v>
      </c>
      <c r="O31" s="21">
        <f t="shared" si="5"/>
        <v>0</v>
      </c>
      <c r="P31" s="21">
        <f t="shared" si="5"/>
        <v>0</v>
      </c>
      <c r="Q31" s="21">
        <f t="shared" si="5"/>
        <v>0</v>
      </c>
      <c r="R31" s="21">
        <f t="shared" si="5"/>
        <v>0</v>
      </c>
      <c r="S31" s="21">
        <f t="shared" si="5"/>
        <v>0</v>
      </c>
      <c r="T31" s="21">
        <f t="shared" si="5"/>
        <v>0</v>
      </c>
      <c r="U31" s="21">
        <f t="shared" si="5"/>
        <v>0</v>
      </c>
      <c r="V31" s="21">
        <f t="shared" si="5"/>
        <v>0</v>
      </c>
      <c r="W31" s="21">
        <f t="shared" si="5"/>
        <v>0</v>
      </c>
      <c r="X31" s="20"/>
      <c r="Y31" s="3"/>
      <c r="Z31" s="3"/>
      <c r="AA31" s="3"/>
    </row>
    <row r="32" spans="1:27" ht="15.6">
      <c r="A32" s="12"/>
      <c r="B32" s="13"/>
      <c r="C32" s="13"/>
      <c r="D32" s="13"/>
      <c r="E32" s="13"/>
      <c r="F32" s="13"/>
      <c r="G32" s="13"/>
      <c r="H32" s="13"/>
      <c r="I32" s="13"/>
      <c r="J32" s="13"/>
      <c r="K32" s="13"/>
      <c r="L32" s="13"/>
      <c r="M32" s="13"/>
      <c r="N32" s="13"/>
      <c r="O32" s="13"/>
      <c r="P32" s="13"/>
      <c r="Q32" s="13"/>
      <c r="R32" s="13"/>
      <c r="S32" s="13"/>
      <c r="T32" s="13"/>
      <c r="U32" s="13"/>
      <c r="V32" s="13"/>
      <c r="W32" s="13"/>
      <c r="X32" s="20"/>
      <c r="Y32" s="3"/>
      <c r="Z32" s="3"/>
      <c r="AA32" s="3"/>
    </row>
    <row r="33" spans="1:27" ht="15.6">
      <c r="A33" s="17" t="s">
        <v>54</v>
      </c>
      <c r="B33" s="13" t="s">
        <v>13</v>
      </c>
      <c r="C33" s="21">
        <f t="shared" ref="C33:W33" si="6">C20-C29</f>
        <v>562.05272000000002</v>
      </c>
      <c r="D33" s="21">
        <f t="shared" si="6"/>
        <v>575.21972000000005</v>
      </c>
      <c r="E33" s="21">
        <f t="shared" si="6"/>
        <v>587.53258788199992</v>
      </c>
      <c r="F33" s="21">
        <f t="shared" si="6"/>
        <v>600.18452080891984</v>
      </c>
      <c r="G33" s="21">
        <f t="shared" si="6"/>
        <v>613.18303156716138</v>
      </c>
      <c r="H33" s="21">
        <f t="shared" si="6"/>
        <v>626.535778551769</v>
      </c>
      <c r="I33" s="21">
        <f t="shared" si="6"/>
        <v>640.25056774144309</v>
      </c>
      <c r="J33" s="21">
        <f t="shared" si="6"/>
        <v>654.33535466100079</v>
      </c>
      <c r="K33" s="21">
        <f t="shared" si="6"/>
        <v>668.79824632876466</v>
      </c>
      <c r="L33" s="21">
        <f t="shared" si="6"/>
        <v>683.6475031861994</v>
      </c>
      <c r="M33" s="21">
        <f t="shared" si="6"/>
        <v>698.8915410069842</v>
      </c>
      <c r="N33" s="21">
        <f t="shared" si="6"/>
        <v>969.89893278254885</v>
      </c>
      <c r="O33" s="21">
        <f t="shared" si="6"/>
        <v>985.95841058094084</v>
      </c>
      <c r="P33" s="21">
        <f t="shared" si="6"/>
        <v>1002.4388673757323</v>
      </c>
      <c r="Q33" s="21">
        <f t="shared" si="6"/>
        <v>1019.3493588414883</v>
      </c>
      <c r="R33" s="21">
        <f t="shared" si="6"/>
        <v>1036.6991051121515</v>
      </c>
      <c r="S33" s="21">
        <f t="shared" si="6"/>
        <v>1054.4974924984972</v>
      </c>
      <c r="T33" s="21">
        <f t="shared" si="6"/>
        <v>1072.7540751606225</v>
      </c>
      <c r="U33" s="21">
        <f t="shared" si="6"/>
        <v>1091.4785767312269</v>
      </c>
      <c r="V33" s="21">
        <f t="shared" si="6"/>
        <v>1110.680891885223</v>
      </c>
      <c r="W33" s="21">
        <f t="shared" si="6"/>
        <v>1130.3710878510005</v>
      </c>
      <c r="X33" s="20">
        <f>SUM(C33:W33)</f>
        <v>17384.758370553671</v>
      </c>
      <c r="Y33" s="3"/>
      <c r="Z33" s="3"/>
      <c r="AA33" s="3"/>
    </row>
    <row r="34" spans="1:27" ht="15.6">
      <c r="A34" s="12"/>
      <c r="B34" s="13"/>
      <c r="C34" s="13"/>
      <c r="D34" s="13"/>
      <c r="E34" s="13"/>
      <c r="F34" s="13"/>
      <c r="G34" s="13"/>
      <c r="H34" s="13"/>
      <c r="I34" s="13"/>
      <c r="J34" s="13"/>
      <c r="K34" s="13"/>
      <c r="L34" s="13"/>
      <c r="M34" s="13"/>
      <c r="N34" s="13"/>
      <c r="O34" s="13"/>
      <c r="P34" s="13"/>
      <c r="Q34" s="13"/>
      <c r="R34" s="13"/>
      <c r="S34" s="13"/>
      <c r="T34" s="13"/>
      <c r="U34" s="13"/>
      <c r="V34" s="13"/>
      <c r="W34" s="13"/>
      <c r="X34" s="20"/>
      <c r="Y34" s="3"/>
      <c r="Z34" s="3"/>
      <c r="AA34" s="3"/>
    </row>
    <row r="35" spans="1:27" ht="15.6">
      <c r="A35" s="17" t="s">
        <v>55</v>
      </c>
      <c r="B35" s="13"/>
      <c r="C35" s="13"/>
      <c r="D35" s="13"/>
      <c r="E35" s="13"/>
      <c r="F35" s="13"/>
      <c r="G35" s="13"/>
      <c r="H35" s="13"/>
      <c r="I35" s="13"/>
      <c r="J35" s="13"/>
      <c r="K35" s="13"/>
      <c r="L35" s="13"/>
      <c r="M35" s="13"/>
      <c r="N35" s="13"/>
      <c r="O35" s="13"/>
      <c r="P35" s="13"/>
      <c r="Q35" s="13"/>
      <c r="R35" s="13"/>
      <c r="S35" s="13"/>
      <c r="T35" s="13"/>
      <c r="U35" s="13"/>
      <c r="V35" s="13"/>
      <c r="W35" s="13"/>
      <c r="X35" s="20"/>
      <c r="Y35" s="3"/>
      <c r="Z35" s="3"/>
      <c r="AA35" s="3"/>
    </row>
    <row r="36" spans="1:27" ht="15.6">
      <c r="A36" s="12" t="s">
        <v>56</v>
      </c>
      <c r="B36" s="13" t="s">
        <v>13</v>
      </c>
      <c r="C36" s="21">
        <f>C33+C27</f>
        <v>562.05272000000002</v>
      </c>
      <c r="D36" s="21">
        <f t="shared" ref="D36:W36" si="7">D33+D27</f>
        <v>862.49972000000002</v>
      </c>
      <c r="E36" s="21">
        <f t="shared" si="7"/>
        <v>874.81258788199989</v>
      </c>
      <c r="F36" s="21">
        <f t="shared" si="7"/>
        <v>887.46452080891981</v>
      </c>
      <c r="G36" s="21">
        <f t="shared" si="7"/>
        <v>900.46303156716135</v>
      </c>
      <c r="H36" s="21">
        <f t="shared" si="7"/>
        <v>913.81577855176897</v>
      </c>
      <c r="I36" s="21">
        <f t="shared" si="7"/>
        <v>927.53056774144306</v>
      </c>
      <c r="J36" s="21">
        <f t="shared" si="7"/>
        <v>941.61535466100077</v>
      </c>
      <c r="K36" s="21">
        <f t="shared" si="7"/>
        <v>956.07824632876464</v>
      </c>
      <c r="L36" s="21">
        <f t="shared" si="7"/>
        <v>970.92750318619937</v>
      </c>
      <c r="M36" s="21">
        <f t="shared" si="7"/>
        <v>986.17154100698417</v>
      </c>
      <c r="N36" s="21">
        <f t="shared" si="7"/>
        <v>1001.8189327825488</v>
      </c>
      <c r="O36" s="21">
        <f t="shared" si="7"/>
        <v>1017.8784105809408</v>
      </c>
      <c r="P36" s="21">
        <f t="shared" si="7"/>
        <v>1034.3588673757324</v>
      </c>
      <c r="Q36" s="21">
        <f t="shared" si="7"/>
        <v>1051.2693588414884</v>
      </c>
      <c r="R36" s="21">
        <f t="shared" si="7"/>
        <v>1068.6191051121516</v>
      </c>
      <c r="S36" s="21">
        <f t="shared" si="7"/>
        <v>1086.4174924984973</v>
      </c>
      <c r="T36" s="21">
        <f t="shared" si="7"/>
        <v>1104.6740751606226</v>
      </c>
      <c r="U36" s="21">
        <f t="shared" si="7"/>
        <v>1123.398576731227</v>
      </c>
      <c r="V36" s="21">
        <f t="shared" si="7"/>
        <v>1142.6008918852231</v>
      </c>
      <c r="W36" s="21">
        <f t="shared" si="7"/>
        <v>1162.2910878510006</v>
      </c>
      <c r="X36" s="20">
        <f t="shared" ref="X36" si="8">SUM(C36:W36)</f>
        <v>20576.758370553674</v>
      </c>
      <c r="Y36" s="22" t="s">
        <v>57</v>
      </c>
      <c r="Z36" s="49" t="s">
        <v>131</v>
      </c>
      <c r="AA36" s="3" t="s">
        <v>58</v>
      </c>
    </row>
    <row r="37" spans="1:27" ht="40.200000000000003">
      <c r="A37" s="23" t="s">
        <v>74</v>
      </c>
      <c r="B37" s="13" t="s">
        <v>13</v>
      </c>
      <c r="C37" s="21">
        <f>Modelldaten!$C$19*19/119*Modelldaten!C16</f>
        <v>0</v>
      </c>
      <c r="D37" s="21">
        <v>0</v>
      </c>
      <c r="E37" s="21">
        <v>0</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0"/>
      <c r="Y37" s="22"/>
      <c r="Z37" s="22"/>
      <c r="AA37" s="3"/>
    </row>
    <row r="38" spans="1:27" ht="15.6">
      <c r="A38" s="24" t="s">
        <v>59</v>
      </c>
      <c r="B38" s="13" t="s">
        <v>13</v>
      </c>
      <c r="C38" s="21">
        <f>C45*(-1*$C$49)*Modelldaten!$C$17</f>
        <v>0</v>
      </c>
      <c r="D38" s="21">
        <f>D45*Modelldaten!$C$18</f>
        <v>537.26991852768367</v>
      </c>
      <c r="E38" s="21">
        <f>E45*Modelldaten!$C$18</f>
        <v>537.26991852768367</v>
      </c>
      <c r="F38" s="21">
        <f>F45*Modelldaten!$C$18</f>
        <v>537.26991852768367</v>
      </c>
      <c r="G38" s="21">
        <f>G45*Modelldaten!$C$18</f>
        <v>537.26991852768367</v>
      </c>
      <c r="H38" s="21">
        <f>H45*Modelldaten!$C$18</f>
        <v>537.26991852768367</v>
      </c>
      <c r="I38" s="21">
        <f>I45*Modelldaten!$C$18</f>
        <v>537.26991852768367</v>
      </c>
      <c r="J38" s="21">
        <f>J45*Modelldaten!$C$18</f>
        <v>537.26991852768367</v>
      </c>
      <c r="K38" s="21">
        <f>K45*Modelldaten!$C$18</f>
        <v>537.26991852768367</v>
      </c>
      <c r="L38" s="21">
        <f>L45*Modelldaten!$C$18</f>
        <v>537.26991852768367</v>
      </c>
      <c r="M38" s="21">
        <f>M45*Modelldaten!$C$18</f>
        <v>537.26991852768367</v>
      </c>
      <c r="N38" s="21">
        <f>N45*Modelldaten!$C$18</f>
        <v>1201.2059185276839</v>
      </c>
      <c r="O38" s="21">
        <f>O45*Modelldaten!$C$18</f>
        <v>1201.2059185276839</v>
      </c>
      <c r="P38" s="21">
        <f>P45*Modelldaten!$C$18</f>
        <v>1201.2059185276839</v>
      </c>
      <c r="Q38" s="21">
        <f>Q45*Modelldaten!$C$18</f>
        <v>1201.2059185276839</v>
      </c>
      <c r="R38" s="21">
        <f>R45*Modelldaten!$C$18</f>
        <v>1201.2059185276839</v>
      </c>
      <c r="S38" s="21">
        <f>S45*Modelldaten!$C$18</f>
        <v>1201.2059185276839</v>
      </c>
      <c r="T38" s="21">
        <f>T45*Modelldaten!$C$18</f>
        <v>1201.2059185276839</v>
      </c>
      <c r="U38" s="21">
        <f>U45*Modelldaten!$C$18</f>
        <v>1201.2059185276839</v>
      </c>
      <c r="V38" s="21">
        <f>V45*Modelldaten!$C$18</f>
        <v>1201.2059185276839</v>
      </c>
      <c r="W38" s="21">
        <f>W45*Modelldaten!$C$18</f>
        <v>1201.2059185276839</v>
      </c>
      <c r="X38" s="20">
        <f>SUM(C38:W38)</f>
        <v>17384.758370553682</v>
      </c>
      <c r="Y38" s="25">
        <f>X38+W42+C49</f>
        <v>4616.7583705536817</v>
      </c>
      <c r="Z38" s="50">
        <f>(-C49+X23+X24+X25+X26+X39+X40)/X9</f>
        <v>0.14323784143904064</v>
      </c>
      <c r="AA38" s="26">
        <f>(W49-C49+X23+X24+X25+X26+X39+X40)/X9</f>
        <v>0.17985436986892606</v>
      </c>
    </row>
    <row r="39" spans="1:27" ht="27">
      <c r="A39" s="23" t="s">
        <v>139</v>
      </c>
      <c r="B39" s="13" t="s">
        <v>13</v>
      </c>
      <c r="C39" s="21">
        <v>0</v>
      </c>
      <c r="D39" s="21">
        <v>0</v>
      </c>
      <c r="E39" s="21">
        <v>0</v>
      </c>
      <c r="F39" s="21">
        <v>0</v>
      </c>
      <c r="G39" s="21">
        <v>0</v>
      </c>
      <c r="H39" s="21">
        <v>0</v>
      </c>
      <c r="I39" s="21">
        <v>0</v>
      </c>
      <c r="J39" s="21">
        <v>0</v>
      </c>
      <c r="K39" s="21">
        <v>0</v>
      </c>
      <c r="L39" s="21">
        <v>0</v>
      </c>
      <c r="M39" s="52">
        <f>Modelldaten!C32*Modelldaten!C16</f>
        <v>2553.6000000000004</v>
      </c>
      <c r="N39" s="21">
        <v>0</v>
      </c>
      <c r="O39" s="21">
        <v>0</v>
      </c>
      <c r="P39" s="21">
        <v>0</v>
      </c>
      <c r="Q39" s="21">
        <v>0</v>
      </c>
      <c r="R39" s="21">
        <v>0</v>
      </c>
      <c r="S39" s="21">
        <v>0</v>
      </c>
      <c r="T39" s="21">
        <v>0</v>
      </c>
      <c r="U39" s="21">
        <v>0</v>
      </c>
      <c r="V39" s="21">
        <v>0</v>
      </c>
      <c r="W39" s="21">
        <v>0</v>
      </c>
      <c r="X39" s="20">
        <f>SUM(C39:W39)</f>
        <v>2553.6000000000004</v>
      </c>
      <c r="Y39" s="25"/>
      <c r="Z39" s="51" t="s">
        <v>134</v>
      </c>
      <c r="AA39" s="3"/>
    </row>
    <row r="40" spans="1:27" ht="15.6">
      <c r="A40" s="23" t="s">
        <v>75</v>
      </c>
      <c r="B40" s="13" t="s">
        <v>13</v>
      </c>
      <c r="C40" s="21">
        <v>0</v>
      </c>
      <c r="D40" s="21">
        <v>0</v>
      </c>
      <c r="E40" s="21">
        <v>0</v>
      </c>
      <c r="F40" s="21">
        <v>0</v>
      </c>
      <c r="G40" s="21">
        <v>0</v>
      </c>
      <c r="H40" s="21">
        <v>0</v>
      </c>
      <c r="I40" s="21">
        <v>0</v>
      </c>
      <c r="J40" s="21">
        <v>0</v>
      </c>
      <c r="K40" s="21">
        <v>0</v>
      </c>
      <c r="L40" s="21">
        <v>0</v>
      </c>
      <c r="M40" s="21">
        <v>0</v>
      </c>
      <c r="N40" s="21">
        <v>0</v>
      </c>
      <c r="O40" s="21">
        <v>0</v>
      </c>
      <c r="P40" s="21">
        <v>0</v>
      </c>
      <c r="Q40" s="21">
        <v>0</v>
      </c>
      <c r="R40" s="21">
        <v>0</v>
      </c>
      <c r="S40" s="21">
        <v>0</v>
      </c>
      <c r="T40" s="21">
        <v>0</v>
      </c>
      <c r="U40" s="21">
        <v>0</v>
      </c>
      <c r="V40" s="21">
        <v>0</v>
      </c>
      <c r="W40" s="53">
        <f>Modelldaten!C33*(-1*C49)</f>
        <v>638.40000000000009</v>
      </c>
      <c r="X40" s="20">
        <f>SUM(C40:W40)</f>
        <v>638.40000000000009</v>
      </c>
      <c r="Y40" s="25"/>
      <c r="Z40" s="25"/>
      <c r="AA40" s="3"/>
    </row>
    <row r="41" spans="1:27" ht="27">
      <c r="A41" s="23" t="s">
        <v>76</v>
      </c>
      <c r="B41" s="13"/>
      <c r="C41" s="21">
        <f>C36-C39-C40</f>
        <v>562.05272000000002</v>
      </c>
      <c r="D41" s="21">
        <f>C41+D36-D39-D40</f>
        <v>1424.5524399999999</v>
      </c>
      <c r="E41" s="21">
        <f t="shared" ref="E41:V41" si="9">D41+E36-E39-E40</f>
        <v>2299.3650278819996</v>
      </c>
      <c r="F41" s="21">
        <f t="shared" si="9"/>
        <v>3186.8295486909192</v>
      </c>
      <c r="G41" s="21">
        <f t="shared" si="9"/>
        <v>4087.2925802580803</v>
      </c>
      <c r="H41" s="21">
        <f t="shared" si="9"/>
        <v>5001.1083588098491</v>
      </c>
      <c r="I41" s="21">
        <f t="shared" si="9"/>
        <v>5928.6389265512917</v>
      </c>
      <c r="J41" s="21">
        <f t="shared" si="9"/>
        <v>6870.254281212292</v>
      </c>
      <c r="K41" s="21">
        <f t="shared" si="9"/>
        <v>7826.3325275410571</v>
      </c>
      <c r="L41" s="21">
        <f t="shared" si="9"/>
        <v>8797.2600307272569</v>
      </c>
      <c r="M41" s="21">
        <f t="shared" si="9"/>
        <v>7229.8315717342412</v>
      </c>
      <c r="N41" s="21">
        <f t="shared" si="9"/>
        <v>8231.6505045167905</v>
      </c>
      <c r="O41" s="21">
        <f t="shared" si="9"/>
        <v>9249.5289150977314</v>
      </c>
      <c r="P41" s="21">
        <f t="shared" si="9"/>
        <v>10283.887782473465</v>
      </c>
      <c r="Q41" s="21">
        <f t="shared" si="9"/>
        <v>11335.157141314952</v>
      </c>
      <c r="R41" s="21">
        <f t="shared" si="9"/>
        <v>12403.776246427104</v>
      </c>
      <c r="S41" s="21">
        <f t="shared" si="9"/>
        <v>13490.193738925602</v>
      </c>
      <c r="T41" s="21">
        <f t="shared" si="9"/>
        <v>14594.867814086225</v>
      </c>
      <c r="U41" s="21">
        <f t="shared" si="9"/>
        <v>15718.266390817451</v>
      </c>
      <c r="V41" s="21">
        <f t="shared" si="9"/>
        <v>16860.867282702675</v>
      </c>
      <c r="W41" s="21">
        <f>V41+W36-W39-W40</f>
        <v>17384.758370553674</v>
      </c>
      <c r="X41" s="20"/>
      <c r="Y41" s="25"/>
      <c r="Z41" s="25"/>
      <c r="AA41" s="3"/>
    </row>
    <row r="42" spans="1:27" ht="15.6">
      <c r="A42" s="12" t="s">
        <v>60</v>
      </c>
      <c r="B42" s="13" t="s">
        <v>13</v>
      </c>
      <c r="C42" s="21">
        <f>C36-C39-C40</f>
        <v>562.05272000000002</v>
      </c>
      <c r="D42" s="21">
        <f>C42+D36-D38-D39-D40</f>
        <v>887.28252147231626</v>
      </c>
      <c r="E42" s="21">
        <f t="shared" ref="E42:W42" si="10">D42+E36-E38-E39-E40</f>
        <v>1224.8251908266325</v>
      </c>
      <c r="F42" s="21">
        <f t="shared" si="10"/>
        <v>1575.0197931078687</v>
      </c>
      <c r="G42" s="21">
        <f t="shared" si="10"/>
        <v>1938.2129061473465</v>
      </c>
      <c r="H42" s="21">
        <f t="shared" si="10"/>
        <v>2314.7587661714319</v>
      </c>
      <c r="I42" s="21">
        <f t="shared" si="10"/>
        <v>2705.0194153851912</v>
      </c>
      <c r="J42" s="21">
        <f t="shared" si="10"/>
        <v>3109.3648515185082</v>
      </c>
      <c r="K42" s="21">
        <f t="shared" si="10"/>
        <v>3528.1731793195891</v>
      </c>
      <c r="L42" s="21">
        <f t="shared" si="10"/>
        <v>3961.8307639781046</v>
      </c>
      <c r="M42" s="21">
        <f t="shared" si="10"/>
        <v>1857.1323864574051</v>
      </c>
      <c r="N42" s="21">
        <f t="shared" si="10"/>
        <v>1657.7454007122701</v>
      </c>
      <c r="O42" s="21">
        <f t="shared" si="10"/>
        <v>1474.4178927655271</v>
      </c>
      <c r="P42" s="21">
        <f t="shared" si="10"/>
        <v>1307.5708416135758</v>
      </c>
      <c r="Q42" s="21">
        <f t="shared" si="10"/>
        <v>1157.6342819273805</v>
      </c>
      <c r="R42" s="21">
        <f t="shared" si="10"/>
        <v>1025.0474685118479</v>
      </c>
      <c r="S42" s="21">
        <f t="shared" si="10"/>
        <v>910.25904248266124</v>
      </c>
      <c r="T42" s="21">
        <f t="shared" si="10"/>
        <v>813.72719911559989</v>
      </c>
      <c r="U42" s="21">
        <f t="shared" si="10"/>
        <v>735.91985731914292</v>
      </c>
      <c r="V42" s="21">
        <f t="shared" si="10"/>
        <v>677.31483067668205</v>
      </c>
      <c r="W42" s="21">
        <f t="shared" si="10"/>
        <v>-1.3642420526593924E-12</v>
      </c>
      <c r="X42" s="20"/>
      <c r="Y42" s="5"/>
      <c r="Z42" s="5"/>
      <c r="AA42" s="3"/>
    </row>
    <row r="43" spans="1:27" ht="15.6">
      <c r="A43" s="12"/>
      <c r="B43" s="13"/>
      <c r="C43" s="21"/>
      <c r="D43" s="21"/>
      <c r="E43" s="21"/>
      <c r="F43" s="21"/>
      <c r="G43" s="21"/>
      <c r="H43" s="21"/>
      <c r="I43" s="21"/>
      <c r="J43" s="21"/>
      <c r="K43" s="21"/>
      <c r="L43" s="21"/>
      <c r="M43" s="21"/>
      <c r="N43" s="21"/>
      <c r="O43" s="21"/>
      <c r="P43" s="21"/>
      <c r="Q43" s="21"/>
      <c r="R43" s="21"/>
      <c r="S43" s="21"/>
      <c r="T43" s="21"/>
      <c r="U43" s="21"/>
      <c r="V43" s="21"/>
      <c r="W43" s="21"/>
      <c r="X43" s="20"/>
      <c r="Y43" s="3"/>
      <c r="Z43" s="3"/>
      <c r="AA43" s="3"/>
    </row>
    <row r="44" spans="1:27" ht="15.6">
      <c r="A44" s="12" t="s">
        <v>61</v>
      </c>
      <c r="B44" s="27">
        <f>W41/Modelldaten!C34/Modelldaten!C18</f>
        <v>6.807941091225593E-2</v>
      </c>
      <c r="C44" s="13"/>
      <c r="D44" s="13"/>
      <c r="E44" s="13"/>
      <c r="F44" s="13"/>
      <c r="G44" s="13"/>
      <c r="H44" s="13"/>
      <c r="I44" s="13"/>
      <c r="J44" s="13"/>
      <c r="K44" s="13"/>
      <c r="L44" s="13"/>
      <c r="M44" s="13"/>
      <c r="N44" s="13"/>
      <c r="O44" s="13"/>
      <c r="P44" s="13"/>
      <c r="Q44" s="13"/>
      <c r="R44" s="13"/>
      <c r="S44" s="13"/>
      <c r="T44" s="13"/>
      <c r="U44" s="13"/>
      <c r="V44" s="13"/>
      <c r="W44" s="13"/>
      <c r="X44" s="20"/>
      <c r="Y44" s="3"/>
      <c r="Z44" s="3"/>
      <c r="AA44" s="3"/>
    </row>
    <row r="45" spans="1:27" ht="54" customHeight="1">
      <c r="A45" s="23" t="s">
        <v>145</v>
      </c>
      <c r="B45" s="13" t="s">
        <v>15</v>
      </c>
      <c r="C45" s="28">
        <v>0</v>
      </c>
      <c r="D45" s="29">
        <f>$B$44-Modelldaten!$C$32/(Modelldaten!$C$34/2)/Modelldaten!$C$17+IF(D23&gt;0,-D23/Modelldaten!$C$18,$X$23/(Modelldaten!$C$34-Modelldaten!$C$28)/Modelldaten!$C$18)-Modelldaten!$C$12/(Modelldaten!$C$34/4)</f>
        <v>4.2079410912255928E-2</v>
      </c>
      <c r="E45" s="29">
        <f>$B$44-Modelldaten!$C$32/(Modelldaten!$C$34/2)/Modelldaten!$C$17+IF(E23&gt;0,-E23/Modelldaten!$C$18,$X$23/(Modelldaten!$C$34-Modelldaten!$C$28)/Modelldaten!$C$18)-Modelldaten!$C$12/(Modelldaten!$C$34/4)</f>
        <v>4.2079410912255928E-2</v>
      </c>
      <c r="F45" s="29">
        <f>$B$44-Modelldaten!$C$32/(Modelldaten!$C$34/2)/Modelldaten!$C$17+IF(F23&gt;0,-F23/Modelldaten!$C$18,$X$23/(Modelldaten!$C$34-Modelldaten!$C$28)/Modelldaten!$C$18)-Modelldaten!$C$12/(Modelldaten!$C$34/4)</f>
        <v>4.2079410912255928E-2</v>
      </c>
      <c r="G45" s="29">
        <f>$B$44-Modelldaten!$C$32/(Modelldaten!$C$34/2)/Modelldaten!$C$17+IF(G23&gt;0,-G23/Modelldaten!$C$18,$X$23/(Modelldaten!$C$34-Modelldaten!$C$28)/Modelldaten!$C$18)-Modelldaten!$C$12/(Modelldaten!$C$34/4)</f>
        <v>4.2079410912255928E-2</v>
      </c>
      <c r="H45" s="29">
        <f>$B$44-Modelldaten!$C$32/(Modelldaten!$C$34/2)/Modelldaten!$C$17+IF(H23&gt;0,-H23/Modelldaten!$C$18,$X$23/(Modelldaten!$C$34-Modelldaten!$C$28)/Modelldaten!$C$18)-Modelldaten!$C$12/(Modelldaten!$C$34/4)</f>
        <v>4.2079410912255928E-2</v>
      </c>
      <c r="I45" s="29">
        <f>$B$44-Modelldaten!$C$32/(Modelldaten!$C$34/2)/Modelldaten!$C$17+IF(I23&gt;0,-I23/Modelldaten!$C$18,$X$23/(Modelldaten!$C$34-Modelldaten!$C$28)/Modelldaten!$C$18)-Modelldaten!$C$12/(Modelldaten!$C$34/4)</f>
        <v>4.2079410912255928E-2</v>
      </c>
      <c r="J45" s="29">
        <f>$B$44-Modelldaten!$C$32/(Modelldaten!$C$34/2)/Modelldaten!$C$17+IF(J23&gt;0,-J23/Modelldaten!$C$18,$X$23/(Modelldaten!$C$34-Modelldaten!$C$28)/Modelldaten!$C$18)-Modelldaten!$C$12/(Modelldaten!$C$34/4)</f>
        <v>4.2079410912255928E-2</v>
      </c>
      <c r="K45" s="29">
        <f>$B$44-Modelldaten!$C$32/(Modelldaten!$C$34/2)/Modelldaten!$C$17+IF(K23&gt;0,-K23/Modelldaten!$C$18,$X$23/(Modelldaten!$C$34-Modelldaten!$C$28)/Modelldaten!$C$18)-Modelldaten!$C$12/(Modelldaten!$C$34/4)</f>
        <v>4.2079410912255928E-2</v>
      </c>
      <c r="L45" s="29">
        <f>$B$44-Modelldaten!$C$32/(Modelldaten!$C$34/2)/Modelldaten!$C$17+IF(L23&gt;0,-L23/Modelldaten!$C$18,$X$23/(Modelldaten!$C$34-Modelldaten!$C$28)/Modelldaten!$C$18)-Modelldaten!$C$12/(Modelldaten!$C$34/4)</f>
        <v>4.2079410912255928E-2</v>
      </c>
      <c r="M45" s="29">
        <f>$B$44-Modelldaten!$C$32/(Modelldaten!$C$34/2)/Modelldaten!$C$17+IF(M23&gt;0,-M23/Modelldaten!$C$18,$X$23/(Modelldaten!$C$34-Modelldaten!$C$28)/Modelldaten!$C$18)-Modelldaten!$C$12/(Modelldaten!$C$34/4)</f>
        <v>4.2079410912255928E-2</v>
      </c>
      <c r="N45" s="29">
        <f>$B$44+Modelldaten!$C$32/(Modelldaten!$C$34/2)/Modelldaten!$C$17+IF(N23&gt;0,-N23/Modelldaten!$C$18,$X$23/(Modelldaten!$C$34-Modelldaten!$C$28)/Modelldaten!$C$18)+Modelldaten!$C$12/(Modelldaten!$C$34/4)</f>
        <v>9.407941091225594E-2</v>
      </c>
      <c r="O45" s="29">
        <f>$B$44+Modelldaten!$C$32/(Modelldaten!$C$34/2)/Modelldaten!$C$17+IF(O23&gt;0,-O23/Modelldaten!$C$18,$X$23/(Modelldaten!$C$34-Modelldaten!$C$28)/Modelldaten!$C$18)+Modelldaten!$C$12/(Modelldaten!$C$34/4)</f>
        <v>9.407941091225594E-2</v>
      </c>
      <c r="P45" s="29">
        <f>$B$44+Modelldaten!$C$32/(Modelldaten!$C$34/2)/Modelldaten!$C$17+IF(P23&gt;0,-P23/Modelldaten!$C$18,$X$23/(Modelldaten!$C$34-Modelldaten!$C$28)/Modelldaten!$C$18)+Modelldaten!$C$12/(Modelldaten!$C$34/4)</f>
        <v>9.407941091225594E-2</v>
      </c>
      <c r="Q45" s="29">
        <f>$B$44+Modelldaten!$C$32/(Modelldaten!$C$34/2)/Modelldaten!$C$17+IF(Q23&gt;0,-Q23/Modelldaten!$C$18,$X$23/(Modelldaten!$C$34-Modelldaten!$C$28)/Modelldaten!$C$18)+Modelldaten!$C$12/(Modelldaten!$C$34/4)</f>
        <v>9.407941091225594E-2</v>
      </c>
      <c r="R45" s="29">
        <f>$B$44+Modelldaten!$C$32/(Modelldaten!$C$34/2)/Modelldaten!$C$17+IF(R23&gt;0,-R23/Modelldaten!$C$18,$X$23/(Modelldaten!$C$34-Modelldaten!$C$28)/Modelldaten!$C$18)+Modelldaten!$C$12/(Modelldaten!$C$34/4)</f>
        <v>9.407941091225594E-2</v>
      </c>
      <c r="S45" s="29">
        <f>$B$44+Modelldaten!$C$32/(Modelldaten!$C$34/2)/Modelldaten!$C$17+IF(S23&gt;0,-S23/Modelldaten!$C$18,$X$23/(Modelldaten!$C$34-Modelldaten!$C$28)/Modelldaten!$C$18)+Modelldaten!$C$12/(Modelldaten!$C$34/4)</f>
        <v>9.407941091225594E-2</v>
      </c>
      <c r="T45" s="29">
        <f>$B$44+Modelldaten!$C$32/(Modelldaten!$C$34/2)/Modelldaten!$C$17+IF(T23&gt;0,-T23/Modelldaten!$C$18,$X$23/(Modelldaten!$C$34-Modelldaten!$C$28)/Modelldaten!$C$18)+Modelldaten!$C$12/(Modelldaten!$C$34/4)</f>
        <v>9.407941091225594E-2</v>
      </c>
      <c r="U45" s="29">
        <f>$B$44+Modelldaten!$C$32/(Modelldaten!$C$34/2)/Modelldaten!$C$17+IF(U23&gt;0,-U23/Modelldaten!$C$18,$X$23/(Modelldaten!$C$34-Modelldaten!$C$28)/Modelldaten!$C$18)+Modelldaten!$C$12/(Modelldaten!$C$34/4)</f>
        <v>9.407941091225594E-2</v>
      </c>
      <c r="V45" s="29">
        <f>$B$44+Modelldaten!$C$32/(Modelldaten!$C$34/2)/Modelldaten!$C$17+IF(V23&gt;0,-V23/Modelldaten!$C$18,$X$23/(Modelldaten!$C$34-Modelldaten!$C$28)/Modelldaten!$C$18)+Modelldaten!$C$12/(Modelldaten!$C$34/4)</f>
        <v>9.407941091225594E-2</v>
      </c>
      <c r="W45" s="29">
        <f>$B$44+Modelldaten!$C$32/(Modelldaten!$C$34/2)/Modelldaten!$C$17+IF(W23&gt;0,-W23/Modelldaten!$C$18,$X$23/(Modelldaten!$C$34-Modelldaten!$C$28)/Modelldaten!$C$18)+Modelldaten!$C$12/(Modelldaten!$C$34/4)</f>
        <v>9.407941091225594E-2</v>
      </c>
      <c r="X45" s="20"/>
      <c r="Y45" s="3"/>
      <c r="Z45" s="3"/>
      <c r="AA45" s="3"/>
    </row>
    <row r="46" spans="1:27" ht="15.6">
      <c r="A46" s="12" t="s">
        <v>62</v>
      </c>
      <c r="B46" s="13" t="s">
        <v>15</v>
      </c>
      <c r="C46" s="28">
        <f>C45</f>
        <v>0</v>
      </c>
      <c r="D46" s="28">
        <f t="shared" ref="D46:W46" si="11">C46+D45</f>
        <v>4.2079410912255928E-2</v>
      </c>
      <c r="E46" s="28">
        <f t="shared" si="11"/>
        <v>8.4158821824511856E-2</v>
      </c>
      <c r="F46" s="28">
        <f t="shared" si="11"/>
        <v>0.12623823273676779</v>
      </c>
      <c r="G46" s="28">
        <f t="shared" si="11"/>
        <v>0.16831764364902371</v>
      </c>
      <c r="H46" s="28">
        <f t="shared" si="11"/>
        <v>0.21039705456127963</v>
      </c>
      <c r="I46" s="28">
        <f t="shared" si="11"/>
        <v>0.25247646547353558</v>
      </c>
      <c r="J46" s="28">
        <f t="shared" si="11"/>
        <v>0.2945558763857915</v>
      </c>
      <c r="K46" s="28">
        <f t="shared" si="11"/>
        <v>0.33663528729804743</v>
      </c>
      <c r="L46" s="28">
        <f t="shared" si="11"/>
        <v>0.37871469821030335</v>
      </c>
      <c r="M46" s="28">
        <f t="shared" si="11"/>
        <v>0.42079410912255927</v>
      </c>
      <c r="N46" s="28">
        <f t="shared" si="11"/>
        <v>0.51487352003481524</v>
      </c>
      <c r="O46" s="28">
        <f t="shared" si="11"/>
        <v>0.60895293094707115</v>
      </c>
      <c r="P46" s="28">
        <f t="shared" si="11"/>
        <v>0.70303234185932706</v>
      </c>
      <c r="Q46" s="28">
        <f t="shared" si="11"/>
        <v>0.79711175277158297</v>
      </c>
      <c r="R46" s="28">
        <f t="shared" si="11"/>
        <v>0.89119116368383888</v>
      </c>
      <c r="S46" s="28">
        <f t="shared" si="11"/>
        <v>0.98527057459609479</v>
      </c>
      <c r="T46" s="28">
        <f t="shared" si="11"/>
        <v>1.0793499855083508</v>
      </c>
      <c r="U46" s="28">
        <f t="shared" si="11"/>
        <v>1.1734293964206068</v>
      </c>
      <c r="V46" s="28">
        <f t="shared" si="11"/>
        <v>1.2675088073328629</v>
      </c>
      <c r="W46" s="28">
        <f t="shared" si="11"/>
        <v>1.3615882182451189</v>
      </c>
      <c r="X46" s="20"/>
      <c r="Y46" s="3"/>
      <c r="Z46" s="3"/>
      <c r="AA46" s="3"/>
    </row>
    <row r="47" spans="1:27">
      <c r="A47" s="12"/>
      <c r="B47" s="30"/>
      <c r="C47" s="30"/>
      <c r="D47" s="30"/>
      <c r="E47" s="30"/>
      <c r="F47" s="30"/>
      <c r="G47" s="30"/>
      <c r="H47" s="30"/>
      <c r="I47" s="30"/>
      <c r="J47" s="30"/>
      <c r="K47" s="30"/>
      <c r="L47" s="30"/>
      <c r="M47" s="30"/>
      <c r="N47" s="30"/>
      <c r="O47" s="30"/>
      <c r="P47" s="30"/>
      <c r="Q47" s="30"/>
      <c r="R47" s="30"/>
      <c r="S47" s="30"/>
      <c r="T47" s="30"/>
      <c r="U47" s="30"/>
      <c r="V47" s="30"/>
      <c r="W47" s="30"/>
      <c r="X47" s="31"/>
      <c r="Y47" s="32"/>
      <c r="Z47" s="32"/>
      <c r="AA47" s="32"/>
    </row>
    <row r="48" spans="1:27">
      <c r="A48" s="12"/>
      <c r="B48" s="30"/>
      <c r="C48" s="30"/>
      <c r="D48" s="30"/>
      <c r="E48" s="30"/>
      <c r="F48" s="30"/>
      <c r="G48" s="30"/>
      <c r="H48" s="30"/>
      <c r="I48" s="30"/>
      <c r="J48" s="30"/>
      <c r="K48" s="30"/>
      <c r="L48" s="30"/>
      <c r="M48" s="30"/>
      <c r="N48" s="30"/>
      <c r="O48" s="30"/>
      <c r="P48" s="30"/>
      <c r="Q48" s="30"/>
      <c r="R48" s="30"/>
      <c r="S48" s="30"/>
      <c r="T48" s="30"/>
      <c r="U48" s="30"/>
      <c r="V48" s="30"/>
      <c r="W48" s="30"/>
      <c r="X48" s="31"/>
      <c r="Y48" s="32"/>
      <c r="Z48" s="32"/>
      <c r="AA48" s="32"/>
    </row>
    <row r="49" spans="1:27">
      <c r="A49" s="17" t="s">
        <v>138</v>
      </c>
      <c r="B49" s="13" t="s">
        <v>13</v>
      </c>
      <c r="C49" s="33">
        <f>-Modelldaten!$C$18+C37</f>
        <v>-12768</v>
      </c>
      <c r="D49" s="31">
        <f t="shared" ref="D49:W49" si="12">C49+D38</f>
        <v>-12230.730081472317</v>
      </c>
      <c r="E49" s="31">
        <f t="shared" si="12"/>
        <v>-11693.460162944633</v>
      </c>
      <c r="F49" s="31">
        <f t="shared" si="12"/>
        <v>-11156.19024441695</v>
      </c>
      <c r="G49" s="31">
        <f t="shared" si="12"/>
        <v>-10618.920325889267</v>
      </c>
      <c r="H49" s="31">
        <f t="shared" si="12"/>
        <v>-10081.650407361583</v>
      </c>
      <c r="I49" s="31">
        <f t="shared" si="12"/>
        <v>-9544.3804888339</v>
      </c>
      <c r="J49" s="31">
        <f t="shared" si="12"/>
        <v>-9007.1105703062167</v>
      </c>
      <c r="K49" s="31">
        <f t="shared" si="12"/>
        <v>-8469.8406517785334</v>
      </c>
      <c r="L49" s="31">
        <f t="shared" si="12"/>
        <v>-7932.57073325085</v>
      </c>
      <c r="M49" s="31">
        <f t="shared" si="12"/>
        <v>-7395.3008147231667</v>
      </c>
      <c r="N49" s="31">
        <f t="shared" si="12"/>
        <v>-6194.0948961954828</v>
      </c>
      <c r="O49" s="31">
        <f t="shared" si="12"/>
        <v>-4992.8889776677988</v>
      </c>
      <c r="P49" s="31">
        <f t="shared" si="12"/>
        <v>-3791.6830591401149</v>
      </c>
      <c r="Q49" s="31">
        <f t="shared" si="12"/>
        <v>-2590.477140612431</v>
      </c>
      <c r="R49" s="31">
        <f t="shared" si="12"/>
        <v>-1389.271222084747</v>
      </c>
      <c r="S49" s="31">
        <f t="shared" si="12"/>
        <v>-188.06530355706309</v>
      </c>
      <c r="T49" s="31">
        <f t="shared" si="12"/>
        <v>1013.1406149706208</v>
      </c>
      <c r="U49" s="31">
        <f t="shared" si="12"/>
        <v>2214.3465334983048</v>
      </c>
      <c r="V49" s="31">
        <f t="shared" si="12"/>
        <v>3415.5524520259887</v>
      </c>
      <c r="W49" s="31">
        <f t="shared" si="12"/>
        <v>4616.7583705536726</v>
      </c>
      <c r="X49" s="31"/>
      <c r="Y49" s="32"/>
      <c r="Z49" s="32"/>
      <c r="AA49" s="32"/>
    </row>
    <row r="50" spans="1:27">
      <c r="Y50" s="32"/>
      <c r="Z50" s="32"/>
      <c r="AA50" s="32"/>
    </row>
    <row r="51" spans="1:27">
      <c r="D51" s="1" t="s">
        <v>63</v>
      </c>
      <c r="P51" s="1" t="s">
        <v>55</v>
      </c>
      <c r="Y51" s="32"/>
      <c r="Z51" s="32"/>
      <c r="AA51" s="32"/>
    </row>
    <row r="52" spans="1:27">
      <c r="C52" s="1"/>
      <c r="D52" t="s">
        <v>64</v>
      </c>
      <c r="P52" s="2" t="s">
        <v>64</v>
      </c>
      <c r="Y52" s="32"/>
      <c r="Z52" s="32"/>
      <c r="AA52" s="32"/>
    </row>
    <row r="53" spans="1:27">
      <c r="Y53" s="32"/>
      <c r="Z53" s="32"/>
      <c r="AA53" s="32"/>
    </row>
    <row r="54" spans="1:27">
      <c r="Y54" s="32"/>
      <c r="Z54" s="32"/>
      <c r="AA54" s="32"/>
    </row>
    <row r="55" spans="1:27">
      <c r="Y55" s="32"/>
      <c r="Z55" s="32"/>
      <c r="AA55" s="32"/>
    </row>
    <row r="56" spans="1:27">
      <c r="Y56" s="32"/>
      <c r="Z56" s="32"/>
      <c r="AA56" s="32"/>
    </row>
    <row r="57" spans="1:27">
      <c r="Y57" s="32"/>
      <c r="Z57" s="32"/>
      <c r="AA57" s="32"/>
    </row>
    <row r="58" spans="1:27">
      <c r="Y58" s="32"/>
      <c r="Z58" s="32"/>
      <c r="AA58" s="32"/>
    </row>
    <row r="59" spans="1:27">
      <c r="Y59" s="32"/>
      <c r="Z59" s="32"/>
      <c r="AA59" s="32"/>
    </row>
    <row r="60" spans="1:27">
      <c r="Y60" s="32"/>
      <c r="Z60" s="32"/>
      <c r="AA60" s="32"/>
    </row>
    <row r="61" spans="1:27">
      <c r="Y61" s="32"/>
      <c r="Z61" s="32"/>
      <c r="AA61" s="32"/>
    </row>
    <row r="62" spans="1:27">
      <c r="Y62" s="32"/>
      <c r="Z62" s="32"/>
      <c r="AA62" s="32"/>
    </row>
    <row r="63" spans="1:27">
      <c r="Y63" s="32"/>
      <c r="Z63" s="32"/>
      <c r="AA63" s="32"/>
    </row>
    <row r="64" spans="1:27">
      <c r="Y64" s="32"/>
      <c r="Z64" s="32"/>
      <c r="AA64" s="32"/>
    </row>
    <row r="65" spans="25:27">
      <c r="Y65" s="32"/>
      <c r="Z65" s="32"/>
      <c r="AA65" s="32"/>
    </row>
    <row r="66" spans="25:27">
      <c r="Y66" s="32"/>
      <c r="Z66" s="32"/>
      <c r="AA66" s="32"/>
    </row>
    <row r="67" spans="25:27">
      <c r="Y67" s="32"/>
      <c r="Z67" s="32"/>
      <c r="AA67" s="32"/>
    </row>
    <row r="68" spans="25:27">
      <c r="Y68" s="32"/>
      <c r="Z68" s="32"/>
      <c r="AA68" s="32"/>
    </row>
    <row r="69" spans="25:27">
      <c r="Y69" s="32"/>
      <c r="Z69" s="32"/>
      <c r="AA69" s="32"/>
    </row>
    <row r="70" spans="25:27">
      <c r="Y70" s="32"/>
      <c r="Z70" s="32"/>
      <c r="AA70" s="32"/>
    </row>
    <row r="71" spans="25:27">
      <c r="Y71" s="32"/>
      <c r="Z71" s="32"/>
      <c r="AA71" s="32"/>
    </row>
    <row r="72" spans="25:27">
      <c r="Y72" s="32"/>
      <c r="Z72" s="32"/>
      <c r="AA72" s="32"/>
    </row>
    <row r="73" spans="25:27">
      <c r="Y73" s="32"/>
      <c r="Z73" s="32"/>
      <c r="AA73" s="32"/>
    </row>
    <row r="74" spans="25:27">
      <c r="Y74" s="32"/>
      <c r="Z74" s="32"/>
      <c r="AA74" s="32"/>
    </row>
    <row r="75" spans="25:27">
      <c r="Y75" s="32"/>
      <c r="Z75" s="32"/>
      <c r="AA75" s="32"/>
    </row>
    <row r="76" spans="25:27">
      <c r="Y76" s="32"/>
      <c r="Z76" s="32"/>
      <c r="AA76" s="32"/>
    </row>
    <row r="77" spans="25:27">
      <c r="Y77" s="32"/>
      <c r="Z77" s="32"/>
      <c r="AA77" s="32"/>
    </row>
    <row r="78" spans="25:27">
      <c r="Y78" s="32"/>
      <c r="Z78" s="32"/>
      <c r="AA78" s="32"/>
    </row>
    <row r="79" spans="25:27">
      <c r="Y79" s="32"/>
      <c r="Z79" s="32"/>
      <c r="AA79" s="32"/>
    </row>
    <row r="80" spans="25:27">
      <c r="Y80" s="32"/>
      <c r="Z80" s="32"/>
      <c r="AA80" s="32"/>
    </row>
    <row r="81" spans="1:27">
      <c r="Y81" s="32"/>
      <c r="Z81" s="32"/>
      <c r="AA81" s="32"/>
    </row>
    <row r="82" spans="1:27">
      <c r="Y82" s="32"/>
      <c r="Z82" s="32"/>
      <c r="AA82" s="32"/>
    </row>
    <row r="83" spans="1:27">
      <c r="Y83" s="32"/>
      <c r="Z83" s="32"/>
      <c r="AA83" s="32"/>
    </row>
    <row r="84" spans="1:27">
      <c r="Y84" s="32"/>
      <c r="Z84" s="32"/>
      <c r="AA84" s="32"/>
    </row>
    <row r="85" spans="1:27">
      <c r="A85" s="1" t="s">
        <v>65</v>
      </c>
      <c r="Y85" s="32"/>
      <c r="Z85" s="32"/>
      <c r="AA85" s="32"/>
    </row>
    <row r="86" spans="1:27" ht="15.6">
      <c r="A86" s="12"/>
      <c r="B86" s="13"/>
      <c r="C86" s="14" t="s">
        <v>33</v>
      </c>
      <c r="D86" s="13"/>
      <c r="E86" s="13"/>
      <c r="F86" s="13"/>
      <c r="G86" s="13"/>
      <c r="H86" s="13"/>
      <c r="I86" s="13"/>
      <c r="J86" s="13"/>
      <c r="K86" s="13"/>
      <c r="L86" s="13"/>
      <c r="M86" s="13"/>
      <c r="N86" s="13"/>
      <c r="O86" s="13"/>
      <c r="P86" s="13"/>
      <c r="Q86" s="13"/>
      <c r="R86" s="13"/>
      <c r="S86" s="13"/>
      <c r="T86" s="13"/>
      <c r="U86" s="13"/>
      <c r="V86" s="13"/>
      <c r="W86" s="13"/>
      <c r="X86" s="15"/>
      <c r="Y86" s="3"/>
      <c r="Z86" s="3"/>
      <c r="AA86" s="3"/>
    </row>
    <row r="87" spans="1:27" ht="15.6">
      <c r="A87" s="12"/>
      <c r="B87" s="13"/>
      <c r="C87" s="16">
        <v>0</v>
      </c>
      <c r="D87" s="16">
        <v>1</v>
      </c>
      <c r="E87" s="16">
        <v>2</v>
      </c>
      <c r="F87" s="16">
        <v>3</v>
      </c>
      <c r="G87" s="16">
        <v>4</v>
      </c>
      <c r="H87" s="16">
        <v>5</v>
      </c>
      <c r="I87" s="16">
        <v>6</v>
      </c>
      <c r="J87" s="16">
        <v>7</v>
      </c>
      <c r="K87" s="16">
        <v>8</v>
      </c>
      <c r="L87" s="16">
        <v>9</v>
      </c>
      <c r="M87" s="16">
        <v>10</v>
      </c>
      <c r="N87" s="16">
        <v>11</v>
      </c>
      <c r="O87" s="16">
        <v>12</v>
      </c>
      <c r="P87" s="16">
        <v>13</v>
      </c>
      <c r="Q87" s="16">
        <v>14</v>
      </c>
      <c r="R87" s="16">
        <v>15</v>
      </c>
      <c r="S87" s="16">
        <v>16</v>
      </c>
      <c r="T87" s="16">
        <v>17</v>
      </c>
      <c r="U87" s="16">
        <v>18</v>
      </c>
      <c r="V87" s="16">
        <v>19</v>
      </c>
      <c r="W87" s="16">
        <v>20</v>
      </c>
      <c r="X87" s="15" t="s">
        <v>66</v>
      </c>
      <c r="Y87" s="3"/>
      <c r="Z87" s="3"/>
      <c r="AA87" s="3"/>
    </row>
    <row r="88" spans="1:27" ht="15.6">
      <c r="A88" s="17" t="s">
        <v>67</v>
      </c>
      <c r="B88" s="13" t="s">
        <v>68</v>
      </c>
      <c r="C88" s="16">
        <f t="shared" ref="C88:W88" si="13">C9</f>
        <v>4468.8</v>
      </c>
      <c r="D88" s="16">
        <f t="shared" si="13"/>
        <v>6384</v>
      </c>
      <c r="E88" s="16">
        <f t="shared" si="13"/>
        <v>6352.08</v>
      </c>
      <c r="F88" s="16">
        <f t="shared" si="13"/>
        <v>6320.16</v>
      </c>
      <c r="G88" s="16">
        <f t="shared" si="13"/>
        <v>6288.24</v>
      </c>
      <c r="H88" s="16">
        <f t="shared" si="13"/>
        <v>6256.32</v>
      </c>
      <c r="I88" s="16">
        <f t="shared" si="13"/>
        <v>6224.4</v>
      </c>
      <c r="J88" s="16">
        <f t="shared" si="13"/>
        <v>6192.48</v>
      </c>
      <c r="K88" s="16">
        <f t="shared" si="13"/>
        <v>6160.5599999999995</v>
      </c>
      <c r="L88" s="16">
        <f t="shared" si="13"/>
        <v>6128.6399999999994</v>
      </c>
      <c r="M88" s="16">
        <f t="shared" si="13"/>
        <v>6096.7199999999993</v>
      </c>
      <c r="N88" s="16">
        <f t="shared" si="13"/>
        <v>6064.7999999999993</v>
      </c>
      <c r="O88" s="16">
        <f t="shared" si="13"/>
        <v>6032.88</v>
      </c>
      <c r="P88" s="16">
        <f t="shared" si="13"/>
        <v>6000.96</v>
      </c>
      <c r="Q88" s="16">
        <f t="shared" si="13"/>
        <v>5969.04</v>
      </c>
      <c r="R88" s="16">
        <f t="shared" si="13"/>
        <v>5937.12</v>
      </c>
      <c r="S88" s="16">
        <f t="shared" si="13"/>
        <v>5905.2000000000007</v>
      </c>
      <c r="T88" s="16">
        <f t="shared" si="13"/>
        <v>5873.2800000000007</v>
      </c>
      <c r="U88" s="16">
        <f t="shared" si="13"/>
        <v>5841.3600000000006</v>
      </c>
      <c r="V88" s="16">
        <f t="shared" si="13"/>
        <v>5809.4400000000005</v>
      </c>
      <c r="W88" s="16">
        <f t="shared" si="13"/>
        <v>5777.52</v>
      </c>
      <c r="X88" s="18">
        <f>SUM(C88:W88)</f>
        <v>126084</v>
      </c>
      <c r="Y88" s="3"/>
      <c r="Z88" s="3"/>
      <c r="AA88" s="3"/>
    </row>
    <row r="89" spans="1:27" ht="15.6">
      <c r="A89" s="12" t="s">
        <v>37</v>
      </c>
      <c r="B89" s="13" t="s">
        <v>36</v>
      </c>
      <c r="C89" s="16">
        <f t="shared" ref="C89:W89" si="14">C10</f>
        <v>1117.2</v>
      </c>
      <c r="D89" s="16">
        <f t="shared" si="14"/>
        <v>1596</v>
      </c>
      <c r="E89" s="16">
        <f t="shared" si="14"/>
        <v>1588.02</v>
      </c>
      <c r="F89" s="16">
        <f t="shared" si="14"/>
        <v>1580.04</v>
      </c>
      <c r="G89" s="16">
        <f t="shared" si="14"/>
        <v>1572.06</v>
      </c>
      <c r="H89" s="16">
        <f t="shared" si="14"/>
        <v>1564.08</v>
      </c>
      <c r="I89" s="16">
        <f t="shared" si="14"/>
        <v>1556.1</v>
      </c>
      <c r="J89" s="16">
        <f t="shared" si="14"/>
        <v>1548.12</v>
      </c>
      <c r="K89" s="16">
        <f t="shared" si="14"/>
        <v>1540.1399999999999</v>
      </c>
      <c r="L89" s="16">
        <f t="shared" si="14"/>
        <v>1532.1599999999999</v>
      </c>
      <c r="M89" s="16">
        <f t="shared" si="14"/>
        <v>1524.1799999999998</v>
      </c>
      <c r="N89" s="16">
        <f t="shared" si="14"/>
        <v>1516.1999999999998</v>
      </c>
      <c r="O89" s="16">
        <f t="shared" si="14"/>
        <v>1508.22</v>
      </c>
      <c r="P89" s="16">
        <f t="shared" si="14"/>
        <v>1500.24</v>
      </c>
      <c r="Q89" s="16">
        <f t="shared" si="14"/>
        <v>1492.26</v>
      </c>
      <c r="R89" s="16">
        <f t="shared" si="14"/>
        <v>1484.28</v>
      </c>
      <c r="S89" s="16">
        <f t="shared" si="14"/>
        <v>1476.3000000000002</v>
      </c>
      <c r="T89" s="16">
        <f t="shared" si="14"/>
        <v>1468.3200000000002</v>
      </c>
      <c r="U89" s="16">
        <f t="shared" si="14"/>
        <v>1460.3400000000001</v>
      </c>
      <c r="V89" s="16">
        <f t="shared" si="14"/>
        <v>1452.3600000000001</v>
      </c>
      <c r="W89" s="16">
        <f t="shared" si="14"/>
        <v>1444.38</v>
      </c>
      <c r="X89" s="15"/>
      <c r="Y89" s="3"/>
      <c r="Z89" s="3"/>
      <c r="AA89" s="3"/>
    </row>
    <row r="90" spans="1:27" ht="15.6">
      <c r="A90" s="12" t="s">
        <v>38</v>
      </c>
      <c r="B90" s="13" t="s">
        <v>36</v>
      </c>
      <c r="C90" s="16">
        <f t="shared" ref="C90:W90" si="15">C11</f>
        <v>3351.6000000000004</v>
      </c>
      <c r="D90" s="16">
        <f t="shared" si="15"/>
        <v>4788</v>
      </c>
      <c r="E90" s="16">
        <f t="shared" si="15"/>
        <v>4764.0599999999995</v>
      </c>
      <c r="F90" s="16">
        <f t="shared" si="15"/>
        <v>4740.12</v>
      </c>
      <c r="G90" s="16">
        <f t="shared" si="15"/>
        <v>4716.18</v>
      </c>
      <c r="H90" s="16">
        <f t="shared" si="15"/>
        <v>4692.24</v>
      </c>
      <c r="I90" s="16">
        <f t="shared" si="15"/>
        <v>4668.2999999999993</v>
      </c>
      <c r="J90" s="16">
        <f t="shared" si="15"/>
        <v>4644.3599999999997</v>
      </c>
      <c r="K90" s="16">
        <f t="shared" si="15"/>
        <v>4620.42</v>
      </c>
      <c r="L90" s="16">
        <f t="shared" si="15"/>
        <v>4596.4799999999996</v>
      </c>
      <c r="M90" s="16">
        <f t="shared" si="15"/>
        <v>4572.5399999999991</v>
      </c>
      <c r="N90" s="16">
        <f t="shared" si="15"/>
        <v>4548.5999999999995</v>
      </c>
      <c r="O90" s="16">
        <f t="shared" si="15"/>
        <v>4524.66</v>
      </c>
      <c r="P90" s="16">
        <f t="shared" si="15"/>
        <v>4500.72</v>
      </c>
      <c r="Q90" s="16">
        <f t="shared" si="15"/>
        <v>4476.78</v>
      </c>
      <c r="R90" s="16">
        <f t="shared" si="15"/>
        <v>4452.84</v>
      </c>
      <c r="S90" s="16">
        <f t="shared" si="15"/>
        <v>4428.9000000000005</v>
      </c>
      <c r="T90" s="16">
        <f t="shared" si="15"/>
        <v>4404.9600000000009</v>
      </c>
      <c r="U90" s="16">
        <f t="shared" si="15"/>
        <v>4381.0200000000004</v>
      </c>
      <c r="V90" s="16">
        <f t="shared" si="15"/>
        <v>4357.08</v>
      </c>
      <c r="W90" s="16">
        <f t="shared" si="15"/>
        <v>4333.1400000000003</v>
      </c>
      <c r="X90" s="15"/>
      <c r="Y90" s="3"/>
      <c r="Z90" s="3"/>
      <c r="AA90" s="3"/>
    </row>
    <row r="91" spans="1:27" ht="15.6">
      <c r="A91" s="12" t="s">
        <v>39</v>
      </c>
      <c r="B91" s="13" t="s">
        <v>6</v>
      </c>
      <c r="C91" s="16">
        <f t="shared" ref="C91:W91" si="16">C12</f>
        <v>665</v>
      </c>
      <c r="D91" s="16">
        <f t="shared" si="16"/>
        <v>950</v>
      </c>
      <c r="E91" s="16">
        <f t="shared" si="16"/>
        <v>945.25</v>
      </c>
      <c r="F91" s="16">
        <f t="shared" si="16"/>
        <v>940.5</v>
      </c>
      <c r="G91" s="16">
        <f t="shared" si="16"/>
        <v>935.75</v>
      </c>
      <c r="H91" s="16">
        <f t="shared" si="16"/>
        <v>931</v>
      </c>
      <c r="I91" s="16">
        <f t="shared" si="16"/>
        <v>926.25</v>
      </c>
      <c r="J91" s="16">
        <f t="shared" si="16"/>
        <v>921.5</v>
      </c>
      <c r="K91" s="16">
        <f t="shared" si="16"/>
        <v>916.75</v>
      </c>
      <c r="L91" s="16">
        <f t="shared" si="16"/>
        <v>912</v>
      </c>
      <c r="M91" s="16">
        <f t="shared" si="16"/>
        <v>907.24999999999989</v>
      </c>
      <c r="N91" s="16">
        <f t="shared" si="16"/>
        <v>902.49999999999989</v>
      </c>
      <c r="O91" s="16">
        <f t="shared" si="16"/>
        <v>897.75</v>
      </c>
      <c r="P91" s="16">
        <f t="shared" si="16"/>
        <v>893</v>
      </c>
      <c r="Q91" s="16">
        <f t="shared" si="16"/>
        <v>888.25</v>
      </c>
      <c r="R91" s="16">
        <f t="shared" si="16"/>
        <v>883.5</v>
      </c>
      <c r="S91" s="16">
        <f t="shared" si="16"/>
        <v>878.75000000000011</v>
      </c>
      <c r="T91" s="16">
        <f t="shared" si="16"/>
        <v>874.00000000000011</v>
      </c>
      <c r="U91" s="16">
        <f t="shared" si="16"/>
        <v>869.25000000000011</v>
      </c>
      <c r="V91" s="16">
        <f t="shared" si="16"/>
        <v>864.50000000000011</v>
      </c>
      <c r="W91" s="16">
        <f t="shared" si="16"/>
        <v>859.75000000000011</v>
      </c>
      <c r="X91" s="15"/>
      <c r="Y91" s="3"/>
      <c r="Z91" s="3"/>
      <c r="AA91" s="3"/>
    </row>
    <row r="92" spans="1:27" ht="15.6">
      <c r="A92" s="17" t="s">
        <v>69</v>
      </c>
      <c r="B92" s="13" t="s">
        <v>68</v>
      </c>
      <c r="C92" s="16"/>
      <c r="D92" s="16"/>
      <c r="E92" s="16"/>
      <c r="F92" s="16"/>
      <c r="G92" s="16"/>
      <c r="H92" s="16"/>
      <c r="I92" s="16"/>
      <c r="J92" s="16"/>
      <c r="K92" s="16"/>
      <c r="L92" s="16"/>
      <c r="M92" s="16"/>
      <c r="N92" s="16"/>
      <c r="O92" s="16"/>
      <c r="P92" s="16"/>
      <c r="Q92" s="16"/>
      <c r="R92" s="16"/>
      <c r="S92" s="16"/>
      <c r="T92" s="16"/>
      <c r="U92" s="16"/>
      <c r="V92" s="16"/>
      <c r="W92" s="16"/>
      <c r="X92" s="18"/>
      <c r="Y92" s="32"/>
      <c r="Z92" s="32"/>
      <c r="AA92" s="32"/>
    </row>
    <row r="93" spans="1:27" ht="15.6">
      <c r="A93" s="12" t="s">
        <v>37</v>
      </c>
      <c r="B93" s="13" t="s">
        <v>36</v>
      </c>
      <c r="C93" s="16"/>
      <c r="D93" s="16"/>
      <c r="E93" s="16"/>
      <c r="F93" s="16"/>
      <c r="G93" s="16"/>
      <c r="H93" s="16"/>
      <c r="I93" s="16"/>
      <c r="J93" s="16"/>
      <c r="K93" s="16"/>
      <c r="L93" s="16"/>
      <c r="M93" s="16"/>
      <c r="N93" s="16"/>
      <c r="O93" s="16"/>
      <c r="P93" s="16"/>
      <c r="Q93" s="16"/>
      <c r="R93" s="16"/>
      <c r="S93" s="16"/>
      <c r="T93" s="16"/>
      <c r="U93" s="16"/>
      <c r="V93" s="16"/>
      <c r="W93" s="16"/>
      <c r="X93" s="15"/>
      <c r="Y93" s="32"/>
      <c r="Z93" s="32"/>
      <c r="AA93" s="32"/>
    </row>
    <row r="94" spans="1:27" ht="15.6">
      <c r="A94" s="12" t="s">
        <v>38</v>
      </c>
      <c r="B94" s="13" t="s">
        <v>36</v>
      </c>
      <c r="C94" s="16"/>
      <c r="D94" s="16"/>
      <c r="E94" s="16"/>
      <c r="F94" s="16"/>
      <c r="G94" s="16"/>
      <c r="H94" s="16"/>
      <c r="I94" s="16"/>
      <c r="J94" s="16"/>
      <c r="K94" s="16"/>
      <c r="L94" s="16"/>
      <c r="M94" s="16"/>
      <c r="N94" s="16"/>
      <c r="O94" s="16"/>
      <c r="P94" s="16"/>
      <c r="Q94" s="16"/>
      <c r="R94" s="16"/>
      <c r="S94" s="16"/>
      <c r="T94" s="16"/>
      <c r="U94" s="16"/>
      <c r="V94" s="16"/>
      <c r="W94" s="16"/>
      <c r="X94" s="15"/>
      <c r="Y94" s="32"/>
      <c r="Z94" s="32"/>
      <c r="AA94" s="32"/>
    </row>
    <row r="95" spans="1:27" ht="15.6">
      <c r="A95" s="12" t="s">
        <v>39</v>
      </c>
      <c r="B95" s="13" t="s">
        <v>6</v>
      </c>
      <c r="C95" s="16"/>
      <c r="D95" s="16"/>
      <c r="E95" s="16"/>
      <c r="F95" s="16"/>
      <c r="G95" s="16"/>
      <c r="H95" s="16"/>
      <c r="I95" s="16"/>
      <c r="J95" s="16"/>
      <c r="K95" s="16"/>
      <c r="L95" s="16"/>
      <c r="M95" s="16"/>
      <c r="N95" s="16"/>
      <c r="O95" s="16"/>
      <c r="P95" s="16"/>
      <c r="Q95" s="16"/>
      <c r="R95" s="16"/>
      <c r="S95" s="16"/>
      <c r="T95" s="16"/>
      <c r="U95" s="16"/>
      <c r="V95" s="16"/>
      <c r="W95" s="16"/>
      <c r="X95" s="15"/>
      <c r="Y95" s="32"/>
      <c r="Z95" s="32"/>
      <c r="AA95" s="32"/>
    </row>
    <row r="96" spans="1:27">
      <c r="Y96" s="32"/>
      <c r="Z96" s="32"/>
      <c r="AA96" s="32"/>
    </row>
    <row r="97" spans="1:27">
      <c r="A97" s="12" t="s">
        <v>70</v>
      </c>
      <c r="B97" s="13" t="s">
        <v>13</v>
      </c>
      <c r="C97" s="34">
        <f t="shared" ref="C97:W97" si="17">C38</f>
        <v>0</v>
      </c>
      <c r="D97" s="34">
        <f t="shared" si="17"/>
        <v>537.26991852768367</v>
      </c>
      <c r="E97" s="34">
        <f t="shared" si="17"/>
        <v>537.26991852768367</v>
      </c>
      <c r="F97" s="34">
        <f t="shared" si="17"/>
        <v>537.26991852768367</v>
      </c>
      <c r="G97" s="34">
        <f t="shared" si="17"/>
        <v>537.26991852768367</v>
      </c>
      <c r="H97" s="34">
        <f t="shared" si="17"/>
        <v>537.26991852768367</v>
      </c>
      <c r="I97" s="34">
        <f t="shared" si="17"/>
        <v>537.26991852768367</v>
      </c>
      <c r="J97" s="34">
        <f t="shared" si="17"/>
        <v>537.26991852768367</v>
      </c>
      <c r="K97" s="34">
        <f t="shared" si="17"/>
        <v>537.26991852768367</v>
      </c>
      <c r="L97" s="34">
        <f t="shared" si="17"/>
        <v>537.26991852768367</v>
      </c>
      <c r="M97" s="34">
        <f t="shared" si="17"/>
        <v>537.26991852768367</v>
      </c>
      <c r="N97" s="34">
        <f t="shared" si="17"/>
        <v>1201.2059185276839</v>
      </c>
      <c r="O97" s="34">
        <f t="shared" si="17"/>
        <v>1201.2059185276839</v>
      </c>
      <c r="P97" s="34">
        <f t="shared" si="17"/>
        <v>1201.2059185276839</v>
      </c>
      <c r="Q97" s="34">
        <f t="shared" si="17"/>
        <v>1201.2059185276839</v>
      </c>
      <c r="R97" s="34">
        <f t="shared" si="17"/>
        <v>1201.2059185276839</v>
      </c>
      <c r="S97" s="34">
        <f t="shared" si="17"/>
        <v>1201.2059185276839</v>
      </c>
      <c r="T97" s="34">
        <f t="shared" si="17"/>
        <v>1201.2059185276839</v>
      </c>
      <c r="U97" s="34">
        <f t="shared" si="17"/>
        <v>1201.2059185276839</v>
      </c>
      <c r="V97" s="34">
        <f t="shared" si="17"/>
        <v>1201.2059185276839</v>
      </c>
      <c r="W97" s="34">
        <f t="shared" si="17"/>
        <v>1201.2059185276839</v>
      </c>
      <c r="X97" s="34">
        <f>SUM(C97:W97)</f>
        <v>17384.758370553682</v>
      </c>
      <c r="Y97" s="32"/>
      <c r="Z97" s="32"/>
      <c r="AA97" s="32"/>
    </row>
    <row r="98" spans="1:27">
      <c r="A98" s="12" t="s">
        <v>71</v>
      </c>
      <c r="B98" s="13" t="s">
        <v>13</v>
      </c>
      <c r="C98" s="30"/>
      <c r="D98" s="30"/>
      <c r="E98" s="30"/>
      <c r="F98" s="30"/>
      <c r="G98" s="30"/>
      <c r="H98" s="30"/>
      <c r="I98" s="30"/>
      <c r="J98" s="30"/>
      <c r="K98" s="30"/>
      <c r="L98" s="30"/>
      <c r="M98" s="30"/>
      <c r="N98" s="30"/>
      <c r="O98" s="30"/>
      <c r="P98" s="30"/>
      <c r="Q98" s="30"/>
      <c r="R98" s="30"/>
      <c r="S98" s="30"/>
      <c r="T98" s="30"/>
      <c r="U98" s="30"/>
      <c r="V98" s="30"/>
      <c r="W98" s="30"/>
      <c r="X98" s="30"/>
      <c r="Y98" s="32"/>
      <c r="Z98" s="32"/>
      <c r="AA98" s="32"/>
    </row>
    <row r="99" spans="1:27">
      <c r="Y99" s="32"/>
      <c r="Z99" s="32"/>
      <c r="AA99" s="32"/>
    </row>
    <row r="100" spans="1:27">
      <c r="C100" s="1" t="s">
        <v>72</v>
      </c>
      <c r="O100" s="1" t="s">
        <v>73</v>
      </c>
      <c r="Y100" s="32"/>
      <c r="Z100" s="32"/>
      <c r="AA100" s="32"/>
    </row>
    <row r="101" spans="1:27">
      <c r="Y101" s="32"/>
      <c r="Z101" s="32"/>
      <c r="AA101" s="32"/>
    </row>
    <row r="102" spans="1:27">
      <c r="Y102" s="32"/>
      <c r="Z102" s="32"/>
      <c r="AA102" s="32"/>
    </row>
    <row r="103" spans="1:27">
      <c r="Y103" s="32"/>
      <c r="Z103" s="32"/>
      <c r="AA103" s="32"/>
    </row>
    <row r="104" spans="1:27">
      <c r="Y104" s="32"/>
      <c r="Z104" s="32"/>
      <c r="AA104" s="32"/>
    </row>
    <row r="105" spans="1:27">
      <c r="Y105" s="32"/>
      <c r="Z105" s="32"/>
      <c r="AA105" s="32"/>
    </row>
    <row r="106" spans="1:27">
      <c r="Y106" s="32"/>
      <c r="Z106" s="32"/>
      <c r="AA106" s="32"/>
    </row>
    <row r="107" spans="1:27">
      <c r="Y107" s="32"/>
      <c r="Z107" s="32"/>
      <c r="AA107" s="32"/>
    </row>
    <row r="108" spans="1:27">
      <c r="Y108" s="32"/>
      <c r="Z108" s="32"/>
      <c r="AA108" s="32"/>
    </row>
    <row r="109" spans="1:27">
      <c r="Y109" s="32"/>
      <c r="Z109" s="32"/>
      <c r="AA109" s="32"/>
    </row>
    <row r="110" spans="1:27">
      <c r="Y110" s="32"/>
      <c r="Z110" s="32"/>
      <c r="AA110" s="32"/>
    </row>
    <row r="111" spans="1:27">
      <c r="Y111" s="32"/>
      <c r="Z111" s="32"/>
      <c r="AA111" s="32"/>
    </row>
    <row r="112" spans="1:27">
      <c r="Y112" s="32"/>
      <c r="Z112" s="32"/>
      <c r="AA112" s="32"/>
    </row>
    <row r="113" spans="25:27">
      <c r="Y113" s="32"/>
      <c r="Z113" s="32"/>
      <c r="AA113" s="32"/>
    </row>
    <row r="114" spans="25:27">
      <c r="Y114" s="32"/>
      <c r="Z114" s="32"/>
      <c r="AA114" s="32"/>
    </row>
    <row r="115" spans="25:27">
      <c r="Y115" s="32"/>
      <c r="Z115" s="32"/>
      <c r="AA115" s="32"/>
    </row>
    <row r="116" spans="25:27">
      <c r="Y116" s="32"/>
      <c r="Z116" s="32"/>
      <c r="AA116" s="32"/>
    </row>
    <row r="117" spans="25:27">
      <c r="Y117" s="32"/>
      <c r="Z117" s="32"/>
      <c r="AA117" s="32"/>
    </row>
    <row r="118" spans="25:27">
      <c r="Y118" s="32"/>
      <c r="Z118" s="32"/>
      <c r="AA118" s="32"/>
    </row>
    <row r="119" spans="25:27">
      <c r="Y119" s="32"/>
      <c r="Z119" s="32"/>
      <c r="AA119" s="32"/>
    </row>
    <row r="120" spans="25:27">
      <c r="Y120" s="32"/>
      <c r="Z120" s="32"/>
      <c r="AA120" s="32"/>
    </row>
    <row r="121" spans="25:27">
      <c r="Y121" s="32"/>
      <c r="Z121" s="32"/>
      <c r="AA121" s="32"/>
    </row>
    <row r="122" spans="25:27">
      <c r="Y122" s="32"/>
      <c r="Z122" s="32"/>
      <c r="AA122" s="32"/>
    </row>
    <row r="123" spans="25:27">
      <c r="Y123" s="32"/>
      <c r="Z123" s="32"/>
      <c r="AA123" s="32"/>
    </row>
    <row r="124" spans="25:27">
      <c r="Y124" s="32"/>
      <c r="Z124" s="32"/>
      <c r="AA124" s="32"/>
    </row>
    <row r="125" spans="25:27">
      <c r="Y125" s="32"/>
      <c r="Z125" s="32"/>
      <c r="AA125" s="32"/>
    </row>
    <row r="126" spans="25:27">
      <c r="Y126" s="32"/>
      <c r="Z126" s="32"/>
      <c r="AA126" s="32"/>
    </row>
    <row r="127" spans="25:27">
      <c r="Y127" s="32"/>
      <c r="Z127" s="32"/>
      <c r="AA127" s="32"/>
    </row>
    <row r="128" spans="25:27">
      <c r="Y128" s="32"/>
      <c r="Z128" s="32"/>
      <c r="AA128" s="32"/>
    </row>
    <row r="129" spans="25:27">
      <c r="Y129" s="32"/>
      <c r="Z129" s="32"/>
      <c r="AA129" s="32"/>
    </row>
    <row r="130" spans="25:27">
      <c r="Y130" s="32"/>
      <c r="Z130" s="32"/>
      <c r="AA130" s="32"/>
    </row>
    <row r="131" spans="25:27">
      <c r="Y131" s="32"/>
      <c r="Z131" s="32"/>
      <c r="AA131" s="32"/>
    </row>
    <row r="132" spans="25:27">
      <c r="Y132" s="32"/>
      <c r="Z132" s="32"/>
      <c r="AA132" s="32"/>
    </row>
    <row r="133" spans="25:27">
      <c r="Y133" s="32"/>
      <c r="Z133" s="32"/>
      <c r="AA133" s="32"/>
    </row>
    <row r="134" spans="25:27">
      <c r="Y134" s="32"/>
      <c r="Z134" s="32"/>
      <c r="AA134" s="32"/>
    </row>
    <row r="135" spans="25:27">
      <c r="Y135" s="32"/>
      <c r="Z135" s="32"/>
      <c r="AA135" s="32"/>
    </row>
    <row r="136" spans="25:27">
      <c r="Y136" s="32"/>
      <c r="Z136" s="32"/>
      <c r="AA136" s="32"/>
    </row>
    <row r="137" spans="25:27">
      <c r="Y137" s="32"/>
      <c r="Z137" s="32"/>
      <c r="AA137" s="32"/>
    </row>
    <row r="138" spans="25:27">
      <c r="Y138" s="32"/>
      <c r="Z138" s="32"/>
      <c r="AA138" s="32"/>
    </row>
    <row r="139" spans="25:27">
      <c r="Y139" s="32"/>
      <c r="Z139" s="32"/>
      <c r="AA139" s="32"/>
    </row>
    <row r="140" spans="25:27">
      <c r="Y140" s="32"/>
      <c r="Z140" s="32"/>
      <c r="AA140" s="32"/>
    </row>
  </sheetData>
  <pageMargins left="0.7" right="0.7" top="0.75" bottom="0.75" header="0.3" footer="0.3"/>
  <pageSetup paperSize="9" orientation="portrait" r:id="rId1"/>
  <headerFooter>
    <oddHeader>&amp;L&amp;"Calibri"&amp;10&amp;K000000Classified&amp;1#</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7BBDD-4FF8-44E3-A222-C142345713A3}">
  <dimension ref="A1:M21"/>
  <sheetViews>
    <sheetView workbookViewId="0">
      <selection activeCell="E26" sqref="E26"/>
    </sheetView>
  </sheetViews>
  <sheetFormatPr defaultRowHeight="14.4"/>
  <cols>
    <col min="1" max="1" width="21.44140625" customWidth="1"/>
    <col min="2" max="2" width="13.44140625" customWidth="1"/>
  </cols>
  <sheetData>
    <row r="1" spans="1:13">
      <c r="A1" s="1" t="s">
        <v>77</v>
      </c>
      <c r="B1" s="32"/>
      <c r="D1" s="4"/>
      <c r="E1" s="4"/>
      <c r="F1" s="4"/>
      <c r="G1" s="4"/>
      <c r="H1" s="4"/>
      <c r="I1" s="4"/>
      <c r="J1" s="4"/>
      <c r="K1" s="4"/>
      <c r="L1" s="4"/>
      <c r="M1" s="4"/>
    </row>
    <row r="2" spans="1:13">
      <c r="A2" s="2" t="s">
        <v>78</v>
      </c>
      <c r="B2" s="32"/>
      <c r="D2" s="4"/>
      <c r="E2" s="4"/>
      <c r="F2" s="4"/>
      <c r="G2" s="4"/>
      <c r="H2" s="4"/>
      <c r="I2" s="4"/>
      <c r="J2" s="4"/>
      <c r="K2" s="4"/>
    </row>
    <row r="3" spans="1:13">
      <c r="A3" s="2" t="s">
        <v>79</v>
      </c>
      <c r="B3" s="32"/>
      <c r="D3" s="4"/>
      <c r="E3" s="4"/>
      <c r="F3" s="4"/>
      <c r="G3" s="4"/>
      <c r="H3" s="4"/>
      <c r="I3" s="4"/>
      <c r="J3" s="4"/>
      <c r="K3" s="4"/>
    </row>
    <row r="4" spans="1:13">
      <c r="A4" s="2" t="s">
        <v>80</v>
      </c>
      <c r="C4" s="35"/>
      <c r="D4" s="4"/>
      <c r="E4" s="4"/>
      <c r="F4" s="4"/>
      <c r="G4" s="4"/>
      <c r="H4" s="4"/>
      <c r="I4" s="4"/>
      <c r="J4" s="4"/>
      <c r="K4" s="4"/>
    </row>
    <row r="5" spans="1:13">
      <c r="A5" s="2"/>
      <c r="B5" s="32"/>
      <c r="D5" s="4"/>
      <c r="E5" s="4"/>
      <c r="F5" s="4"/>
      <c r="G5" s="4"/>
      <c r="H5" s="4"/>
      <c r="I5" s="4"/>
      <c r="J5" s="4"/>
      <c r="K5" s="4"/>
    </row>
    <row r="6" spans="1:13">
      <c r="A6" s="1" t="s">
        <v>81</v>
      </c>
      <c r="B6" s="32"/>
      <c r="D6" s="4"/>
      <c r="E6" s="4"/>
      <c r="F6" s="4"/>
      <c r="G6" s="4"/>
      <c r="H6" s="4"/>
      <c r="I6" s="4"/>
      <c r="J6" s="4"/>
      <c r="K6" s="4"/>
    </row>
    <row r="7" spans="1:13">
      <c r="A7" s="2" t="s">
        <v>82</v>
      </c>
      <c r="B7" s="36"/>
      <c r="C7" s="2"/>
      <c r="D7" s="4"/>
      <c r="E7" s="4"/>
      <c r="F7" s="4"/>
      <c r="G7" s="4"/>
      <c r="H7" s="4"/>
      <c r="I7" s="4"/>
      <c r="J7" s="4"/>
      <c r="K7" s="4"/>
      <c r="L7" s="2"/>
      <c r="M7" s="2"/>
    </row>
    <row r="8" spans="1:13">
      <c r="A8" s="2" t="s">
        <v>83</v>
      </c>
      <c r="B8" s="36"/>
      <c r="C8" s="2"/>
      <c r="D8" s="4"/>
      <c r="E8" s="4"/>
      <c r="F8" s="4"/>
      <c r="G8" s="4"/>
      <c r="H8" s="4"/>
      <c r="I8" s="4"/>
      <c r="J8" s="4"/>
      <c r="K8" s="4"/>
      <c r="L8" s="2"/>
      <c r="M8" s="2"/>
    </row>
    <row r="9" spans="1:13">
      <c r="A9" s="2" t="s">
        <v>84</v>
      </c>
      <c r="B9" s="36"/>
      <c r="C9" s="2"/>
      <c r="D9" s="4"/>
      <c r="E9" s="4"/>
      <c r="F9" s="4"/>
      <c r="G9" s="4"/>
      <c r="H9" s="4"/>
      <c r="I9" s="4"/>
      <c r="J9" s="4"/>
      <c r="K9" s="4"/>
      <c r="L9" s="2"/>
      <c r="M9" s="2"/>
    </row>
    <row r="10" spans="1:13">
      <c r="A10" s="2" t="s">
        <v>85</v>
      </c>
      <c r="B10" s="36"/>
      <c r="C10" s="2"/>
      <c r="D10" s="4"/>
      <c r="E10" s="4"/>
      <c r="F10" s="4"/>
      <c r="G10" s="4"/>
      <c r="H10" s="4"/>
      <c r="I10" s="4"/>
      <c r="J10" s="4"/>
      <c r="K10" s="4"/>
      <c r="L10" s="2"/>
      <c r="M10" s="2"/>
    </row>
    <row r="11" spans="1:13">
      <c r="A11" s="1" t="s">
        <v>86</v>
      </c>
      <c r="B11" s="36"/>
      <c r="C11" s="2"/>
      <c r="D11" s="4"/>
      <c r="E11" s="4"/>
      <c r="F11" s="4"/>
      <c r="G11" s="4"/>
      <c r="H11" s="4"/>
      <c r="I11" s="4"/>
      <c r="J11" s="4"/>
      <c r="K11" s="4"/>
      <c r="L11" s="2"/>
      <c r="M11" s="2"/>
    </row>
    <row r="12" spans="1:13">
      <c r="A12" s="2" t="s">
        <v>87</v>
      </c>
      <c r="B12" s="36"/>
      <c r="C12" s="2"/>
      <c r="D12" s="4"/>
      <c r="E12" s="4"/>
      <c r="F12" s="4"/>
      <c r="G12" s="4"/>
      <c r="H12" s="4"/>
      <c r="I12" s="4"/>
      <c r="J12" s="4"/>
      <c r="K12" s="4"/>
      <c r="L12" s="2"/>
      <c r="M12" s="2"/>
    </row>
    <row r="13" spans="1:13">
      <c r="B13" s="32"/>
    </row>
    <row r="14" spans="1:13">
      <c r="A14" s="2" t="s">
        <v>88</v>
      </c>
      <c r="B14" s="37">
        <f>-1*Geschäftsmodell!C49</f>
        <v>12768</v>
      </c>
      <c r="C14" s="38" t="s">
        <v>13</v>
      </c>
    </row>
    <row r="15" spans="1:13">
      <c r="A15" s="2" t="s">
        <v>89</v>
      </c>
      <c r="B15" s="1">
        <v>20</v>
      </c>
      <c r="C15" s="39" t="s">
        <v>23</v>
      </c>
      <c r="D15" s="2" t="s">
        <v>90</v>
      </c>
    </row>
    <row r="16" spans="1:13">
      <c r="A16" s="2" t="s">
        <v>21</v>
      </c>
      <c r="B16" s="41">
        <v>3.1399999999999997E-2</v>
      </c>
      <c r="C16" s="40"/>
      <c r="D16" s="2" t="s">
        <v>91</v>
      </c>
    </row>
    <row r="17" spans="1:5">
      <c r="B17" s="1"/>
    </row>
    <row r="18" spans="1:5">
      <c r="A18" s="2" t="s">
        <v>92</v>
      </c>
      <c r="B18" s="37">
        <f>B14*(B16*(1+B16)^(B15))/((1+B16)^(B15)-1)</f>
        <v>869.35693654608974</v>
      </c>
      <c r="C18" t="s">
        <v>13</v>
      </c>
      <c r="E18" s="2"/>
    </row>
    <row r="19" spans="1:5">
      <c r="A19" s="2" t="s">
        <v>92</v>
      </c>
      <c r="B19" s="41">
        <f>B18/B14</f>
        <v>6.8088732498910537E-2</v>
      </c>
    </row>
    <row r="21" spans="1:5">
      <c r="A21" s="2" t="s">
        <v>93</v>
      </c>
      <c r="B21" s="37">
        <f>B15*B18</f>
        <v>17387.138730921793</v>
      </c>
      <c r="C21" s="1" t="s">
        <v>13</v>
      </c>
      <c r="D21" s="2" t="s">
        <v>148</v>
      </c>
    </row>
  </sheetData>
  <hyperlinks>
    <hyperlink ref="C4" r:id="rId1" display="http://de.wikipedia.org/wiki/Annuit%C3%A4tendarlehen " xr:uid="{F6AB5096-C4DE-40B2-9224-10AA9C11635E}"/>
  </hyperlinks>
  <pageMargins left="0.7" right="0.7" top="0.75" bottom="0.75" header="0.3" footer="0.3"/>
  <pageSetup paperSize="9" orientation="portrait" r:id="rId2"/>
  <headerFooter>
    <oddHeader>&amp;L&amp;"Calibri"&amp;10&amp;K000000Classified&amp;1#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8B8AA-FDA1-4B1F-A3BA-47BD57290F23}">
  <dimension ref="A1:R38"/>
  <sheetViews>
    <sheetView topLeftCell="B1" workbookViewId="0">
      <selection activeCell="U13" sqref="U13"/>
    </sheetView>
  </sheetViews>
  <sheetFormatPr defaultRowHeight="14.4"/>
  <cols>
    <col min="1" max="1" width="40.33203125" customWidth="1"/>
  </cols>
  <sheetData>
    <row r="1" spans="1:18">
      <c r="A1" s="1" t="s">
        <v>94</v>
      </c>
      <c r="B1" s="1"/>
      <c r="C1" s="1"/>
      <c r="D1" s="1"/>
      <c r="E1" s="42"/>
      <c r="F1" s="32"/>
      <c r="G1" s="32"/>
      <c r="H1" s="32"/>
      <c r="I1" s="32"/>
      <c r="J1" s="32"/>
      <c r="K1" s="32"/>
      <c r="L1" s="32"/>
      <c r="M1" s="32"/>
      <c r="N1" s="32"/>
      <c r="O1" s="32"/>
      <c r="P1" s="32"/>
    </row>
    <row r="2" spans="1:18">
      <c r="A2" s="2" t="s">
        <v>95</v>
      </c>
      <c r="B2" s="2"/>
      <c r="C2" s="2"/>
      <c r="D2" s="2"/>
      <c r="E2" s="36"/>
      <c r="F2" s="36"/>
      <c r="G2" s="36"/>
      <c r="H2" s="36"/>
      <c r="I2" s="36"/>
      <c r="J2" s="36"/>
      <c r="K2" s="36"/>
      <c r="L2" s="36"/>
      <c r="M2" s="36"/>
      <c r="N2" s="36"/>
      <c r="O2" s="36"/>
      <c r="P2" s="36"/>
    </row>
    <row r="3" spans="1:18">
      <c r="A3" s="2" t="s">
        <v>96</v>
      </c>
      <c r="B3" s="2"/>
      <c r="C3" s="2"/>
      <c r="D3" s="2"/>
      <c r="E3" s="36"/>
      <c r="F3" s="36"/>
      <c r="G3" s="36"/>
      <c r="H3" s="36"/>
      <c r="I3" s="36"/>
      <c r="J3" s="36"/>
      <c r="K3" s="36"/>
      <c r="L3" s="36"/>
      <c r="M3" s="36"/>
      <c r="N3" s="36"/>
      <c r="O3" s="36"/>
      <c r="P3" s="36"/>
    </row>
    <row r="4" spans="1:18">
      <c r="A4" s="2" t="s">
        <v>97</v>
      </c>
      <c r="B4" s="2"/>
      <c r="C4" s="2"/>
      <c r="D4" s="2"/>
      <c r="E4" s="36"/>
      <c r="F4" s="36"/>
      <c r="G4" s="36"/>
      <c r="H4" s="36"/>
      <c r="I4" s="36"/>
      <c r="J4" s="36"/>
      <c r="K4" s="36"/>
      <c r="L4" s="36"/>
      <c r="M4" s="36"/>
      <c r="N4" s="36"/>
      <c r="O4" s="36"/>
      <c r="P4" s="36"/>
    </row>
    <row r="5" spans="1:18">
      <c r="E5" s="32"/>
      <c r="F5" s="32"/>
      <c r="G5" s="32"/>
      <c r="H5" s="32"/>
      <c r="I5" s="32"/>
      <c r="J5" s="32"/>
      <c r="K5" s="32"/>
      <c r="L5" s="32"/>
      <c r="M5" s="32"/>
      <c r="N5" s="32"/>
      <c r="O5" s="32"/>
      <c r="P5" s="32"/>
    </row>
    <row r="6" spans="1:18">
      <c r="B6" s="42">
        <v>2008</v>
      </c>
      <c r="C6" s="42">
        <v>2009</v>
      </c>
      <c r="D6" s="42">
        <v>2010</v>
      </c>
      <c r="E6" s="42">
        <v>2011</v>
      </c>
      <c r="F6" s="42">
        <v>2012</v>
      </c>
      <c r="G6" s="42">
        <v>2013</v>
      </c>
      <c r="H6" s="42">
        <v>2014</v>
      </c>
      <c r="I6" s="42">
        <v>2015</v>
      </c>
      <c r="J6" s="42">
        <v>2016</v>
      </c>
      <c r="K6" s="42">
        <v>2017</v>
      </c>
      <c r="L6" s="42">
        <v>2018</v>
      </c>
      <c r="M6" s="42">
        <v>2019</v>
      </c>
      <c r="N6" s="42">
        <v>2020</v>
      </c>
      <c r="O6" s="42">
        <v>2021</v>
      </c>
      <c r="P6" s="48">
        <v>2022</v>
      </c>
      <c r="Q6" s="48">
        <v>2023</v>
      </c>
      <c r="R6" s="42">
        <v>2024</v>
      </c>
    </row>
    <row r="7" spans="1:18">
      <c r="A7" s="2" t="s">
        <v>98</v>
      </c>
      <c r="B7" s="36">
        <v>21.2</v>
      </c>
      <c r="C7" s="36">
        <v>21.2</v>
      </c>
      <c r="D7" s="36">
        <v>22.7</v>
      </c>
      <c r="E7" s="36">
        <v>23.9</v>
      </c>
      <c r="F7" s="36">
        <v>23.9</v>
      </c>
      <c r="G7" s="36">
        <v>26.75</v>
      </c>
      <c r="H7" s="36">
        <v>26.75</v>
      </c>
      <c r="I7" s="32">
        <v>26.75</v>
      </c>
      <c r="J7" s="32">
        <v>25.95</v>
      </c>
      <c r="K7" s="32">
        <v>25.95</v>
      </c>
      <c r="L7" s="32">
        <v>25.95</v>
      </c>
      <c r="M7" s="32">
        <v>27.65</v>
      </c>
      <c r="N7" s="32">
        <v>29.2</v>
      </c>
      <c r="O7" s="32">
        <v>29.2</v>
      </c>
      <c r="P7" s="36"/>
      <c r="Q7" s="32">
        <v>40</v>
      </c>
      <c r="R7" s="32">
        <v>35.9</v>
      </c>
    </row>
    <row r="8" spans="1:18">
      <c r="A8" s="2" t="s">
        <v>153</v>
      </c>
      <c r="B8" s="36">
        <v>19.8</v>
      </c>
      <c r="C8" s="36">
        <v>21.4</v>
      </c>
      <c r="D8" s="36">
        <v>23.6</v>
      </c>
      <c r="E8" s="36">
        <v>24.8</v>
      </c>
      <c r="F8" s="36">
        <v>24.8</v>
      </c>
      <c r="G8" s="36">
        <v>27.2</v>
      </c>
      <c r="H8" s="36">
        <v>27.65</v>
      </c>
      <c r="I8" s="32">
        <v>27.65</v>
      </c>
      <c r="J8" s="32">
        <v>26.65</v>
      </c>
      <c r="K8" s="32">
        <v>27.1</v>
      </c>
      <c r="L8" s="32">
        <v>27.1</v>
      </c>
      <c r="M8" s="32">
        <v>28.5</v>
      </c>
      <c r="N8" s="32">
        <v>29.8</v>
      </c>
      <c r="O8" s="32">
        <v>29.8</v>
      </c>
      <c r="P8" s="36"/>
      <c r="Q8" s="32">
        <v>40</v>
      </c>
      <c r="R8" s="32">
        <v>38.64</v>
      </c>
    </row>
    <row r="9" spans="1:18">
      <c r="A9" s="2" t="s">
        <v>99</v>
      </c>
      <c r="B9" s="36">
        <v>20.25</v>
      </c>
      <c r="C9" s="36">
        <v>19.989999999999998</v>
      </c>
      <c r="D9" s="36">
        <v>21.99</v>
      </c>
      <c r="E9" s="36">
        <v>23.64</v>
      </c>
      <c r="F9" s="36">
        <v>24.19</v>
      </c>
      <c r="G9" s="36">
        <v>27.48</v>
      </c>
      <c r="H9" s="36">
        <v>26.76</v>
      </c>
      <c r="I9" s="32">
        <v>26.76</v>
      </c>
      <c r="J9" s="32">
        <v>26.44</v>
      </c>
      <c r="K9" s="32">
        <v>27.99</v>
      </c>
      <c r="L9" s="32">
        <v>27.99</v>
      </c>
      <c r="M9" s="32">
        <v>27.99</v>
      </c>
      <c r="N9" s="32">
        <v>30.55</v>
      </c>
      <c r="O9" s="32"/>
      <c r="P9" s="36" t="s">
        <v>100</v>
      </c>
      <c r="Q9" s="32"/>
      <c r="R9" s="32">
        <v>31.67</v>
      </c>
    </row>
    <row r="10" spans="1:18">
      <c r="A10" s="2" t="s">
        <v>101</v>
      </c>
      <c r="B10" s="36">
        <v>19.899999999999999</v>
      </c>
      <c r="C10" s="36">
        <v>19.899999999999999</v>
      </c>
      <c r="D10" s="36">
        <v>19.899999999999999</v>
      </c>
      <c r="E10" s="36">
        <v>21.25</v>
      </c>
      <c r="F10" s="36">
        <v>23.4</v>
      </c>
      <c r="G10" s="36">
        <v>25.75</v>
      </c>
      <c r="H10" s="36">
        <v>26.95</v>
      </c>
      <c r="I10" s="32">
        <v>26.25</v>
      </c>
      <c r="J10" s="32">
        <v>26.75</v>
      </c>
      <c r="K10" s="32">
        <v>27.75</v>
      </c>
      <c r="L10" s="32">
        <v>27.75</v>
      </c>
      <c r="M10" s="32">
        <v>27.75</v>
      </c>
      <c r="N10" s="32">
        <v>28.95</v>
      </c>
      <c r="O10" s="32">
        <v>28.95</v>
      </c>
      <c r="P10" s="36" t="s">
        <v>102</v>
      </c>
      <c r="Q10" s="32">
        <v>40</v>
      </c>
      <c r="R10" s="32">
        <v>34.9</v>
      </c>
    </row>
    <row r="11" spans="1:18">
      <c r="A11" s="2" t="s">
        <v>103</v>
      </c>
      <c r="B11" s="36"/>
      <c r="C11" s="36"/>
      <c r="D11" s="36"/>
      <c r="E11" s="36"/>
      <c r="F11" s="32"/>
      <c r="G11" s="32"/>
      <c r="H11" s="32"/>
      <c r="I11" s="32"/>
      <c r="J11" s="32"/>
      <c r="K11" s="36">
        <v>24.99</v>
      </c>
      <c r="L11" s="36" t="s">
        <v>104</v>
      </c>
      <c r="M11" s="32">
        <v>26.99</v>
      </c>
      <c r="N11" s="32">
        <v>27.99</v>
      </c>
      <c r="O11" s="32">
        <v>28.49</v>
      </c>
      <c r="P11" s="32">
        <v>29.99</v>
      </c>
      <c r="Q11" s="32">
        <v>40</v>
      </c>
      <c r="R11" s="32">
        <v>37.950000000000003</v>
      </c>
    </row>
    <row r="12" spans="1:18">
      <c r="B12" s="32"/>
      <c r="C12" s="32"/>
      <c r="D12" s="32"/>
      <c r="E12" s="32"/>
      <c r="F12" s="32"/>
      <c r="G12" s="32"/>
      <c r="H12" s="32"/>
      <c r="I12" s="32"/>
      <c r="J12" s="32"/>
      <c r="K12" s="32"/>
      <c r="L12" s="32"/>
      <c r="M12" s="32"/>
      <c r="N12" s="32"/>
      <c r="O12" s="32"/>
      <c r="P12" s="32"/>
      <c r="Q12" s="32"/>
      <c r="R12" s="32"/>
    </row>
    <row r="13" spans="1:18">
      <c r="A13" s="2" t="s">
        <v>105</v>
      </c>
      <c r="B13" s="36">
        <f t="shared" ref="B13:J13" si="0">MIN(B7:B10)</f>
        <v>19.8</v>
      </c>
      <c r="C13" s="36">
        <f t="shared" si="0"/>
        <v>19.899999999999999</v>
      </c>
      <c r="D13" s="36">
        <f t="shared" si="0"/>
        <v>19.899999999999999</v>
      </c>
      <c r="E13" s="36">
        <f t="shared" si="0"/>
        <v>21.25</v>
      </c>
      <c r="F13" s="36">
        <f t="shared" si="0"/>
        <v>23.4</v>
      </c>
      <c r="G13" s="36">
        <f t="shared" si="0"/>
        <v>25.75</v>
      </c>
      <c r="H13" s="36">
        <f t="shared" si="0"/>
        <v>26.75</v>
      </c>
      <c r="I13" s="36">
        <f t="shared" si="0"/>
        <v>26.25</v>
      </c>
      <c r="J13" s="36">
        <f t="shared" si="0"/>
        <v>25.95</v>
      </c>
      <c r="K13" s="36">
        <f t="shared" ref="K13:P13" si="1">MIN(K7:K11)</f>
        <v>24.99</v>
      </c>
      <c r="L13" s="36">
        <f t="shared" si="1"/>
        <v>25.95</v>
      </c>
      <c r="M13" s="36">
        <f t="shared" si="1"/>
        <v>26.99</v>
      </c>
      <c r="N13" s="36">
        <f t="shared" si="1"/>
        <v>27.99</v>
      </c>
      <c r="O13" s="36">
        <f t="shared" si="1"/>
        <v>28.49</v>
      </c>
      <c r="P13" s="36">
        <f t="shared" si="1"/>
        <v>29.99</v>
      </c>
      <c r="Q13" s="36">
        <f>40</f>
        <v>40</v>
      </c>
      <c r="R13" s="32">
        <v>34.9</v>
      </c>
    </row>
    <row r="14" spans="1:18">
      <c r="A14" s="2" t="s">
        <v>106</v>
      </c>
      <c r="B14" s="36"/>
      <c r="C14" s="43">
        <f t="shared" ref="C14:R14" si="2">(C13-B13)/B13</f>
        <v>5.0505050505049425E-3</v>
      </c>
      <c r="D14" s="43">
        <f t="shared" si="2"/>
        <v>0</v>
      </c>
      <c r="E14" s="43">
        <f t="shared" si="2"/>
        <v>6.7839195979899569E-2</v>
      </c>
      <c r="F14" s="43">
        <f t="shared" si="2"/>
        <v>0.10117647058823523</v>
      </c>
      <c r="G14" s="43">
        <f t="shared" si="2"/>
        <v>0.1004273504273505</v>
      </c>
      <c r="H14" s="43">
        <f t="shared" si="2"/>
        <v>3.8834951456310676E-2</v>
      </c>
      <c r="I14" s="43">
        <f t="shared" si="2"/>
        <v>-1.8691588785046728E-2</v>
      </c>
      <c r="J14" s="43">
        <f t="shared" si="2"/>
        <v>-1.1428571428571456E-2</v>
      </c>
      <c r="K14" s="43">
        <f t="shared" si="2"/>
        <v>-3.6994219653179228E-2</v>
      </c>
      <c r="L14" s="43">
        <f t="shared" si="2"/>
        <v>3.8415366146458622E-2</v>
      </c>
      <c r="M14" s="43">
        <f t="shared" si="2"/>
        <v>4.0077071290944094E-2</v>
      </c>
      <c r="N14" s="43">
        <f t="shared" si="2"/>
        <v>3.7050759540570584E-2</v>
      </c>
      <c r="O14" s="43">
        <f t="shared" si="2"/>
        <v>1.7863522686673815E-2</v>
      </c>
      <c r="P14" s="43">
        <f t="shared" si="2"/>
        <v>5.2650052650052653E-2</v>
      </c>
      <c r="Q14" s="43">
        <f t="shared" si="2"/>
        <v>0.33377792597532518</v>
      </c>
      <c r="R14" s="43">
        <f t="shared" si="2"/>
        <v>-0.12750000000000003</v>
      </c>
    </row>
    <row r="15" spans="1:18">
      <c r="A15" s="2" t="s">
        <v>107</v>
      </c>
      <c r="C15" s="43">
        <f>(C13/$B$13)^(1/(C6-2008))-1</f>
        <v>5.050505050504972E-3</v>
      </c>
      <c r="D15" s="43">
        <f>(D13/$B$13)^(1/(D6-2008))-1</f>
        <v>2.5220721014100889E-3</v>
      </c>
      <c r="E15" s="43">
        <f>(E13/$B$13)^(1/(E6-2008))-1</f>
        <v>2.3838008443008762E-2</v>
      </c>
      <c r="F15" s="43">
        <f t="shared" ref="F15:R15" si="3">(F13/$B$13)^(1/(F6-2008))-1</f>
        <v>4.264788543842446E-2</v>
      </c>
      <c r="G15" s="43">
        <f t="shared" si="3"/>
        <v>5.3955825427599358E-2</v>
      </c>
      <c r="H15" s="43">
        <f t="shared" si="3"/>
        <v>5.1420481335200607E-2</v>
      </c>
      <c r="I15" s="43">
        <f t="shared" si="3"/>
        <v>4.1105819147615685E-2</v>
      </c>
      <c r="J15" s="43">
        <f t="shared" si="3"/>
        <v>3.4389304890367844E-2</v>
      </c>
      <c r="K15" s="43">
        <f t="shared" si="3"/>
        <v>2.6203406010751662E-2</v>
      </c>
      <c r="L15" s="43">
        <f t="shared" si="3"/>
        <v>2.74181113107832E-2</v>
      </c>
      <c r="M15" s="43">
        <f t="shared" si="3"/>
        <v>2.8562530784063789E-2</v>
      </c>
      <c r="N15" s="43">
        <f t="shared" si="3"/>
        <v>2.9267221710524316E-2</v>
      </c>
      <c r="O15" s="43">
        <f t="shared" si="3"/>
        <v>2.8385496298976909E-2</v>
      </c>
      <c r="P15" s="43">
        <f t="shared" si="3"/>
        <v>3.0099975450898375E-2</v>
      </c>
      <c r="Q15" s="43">
        <f t="shared" si="3"/>
        <v>4.7996068465465447E-2</v>
      </c>
      <c r="R15" s="43">
        <f t="shared" si="3"/>
        <v>3.6060257462029011E-2</v>
      </c>
    </row>
    <row r="16" spans="1:18">
      <c r="E16" s="32"/>
      <c r="F16" s="32"/>
      <c r="G16" s="32"/>
      <c r="H16" s="32"/>
      <c r="I16" s="32"/>
      <c r="J16" s="32"/>
      <c r="K16" s="32"/>
      <c r="L16" s="32"/>
      <c r="M16" s="32"/>
      <c r="N16" s="32"/>
      <c r="O16" s="32"/>
      <c r="P16" s="32"/>
    </row>
    <row r="17" spans="5:16">
      <c r="E17" s="32"/>
      <c r="F17" s="32"/>
      <c r="G17" s="32"/>
      <c r="H17" s="32"/>
      <c r="I17" s="32"/>
      <c r="J17" s="32"/>
      <c r="K17" s="32"/>
      <c r="L17" s="32"/>
      <c r="M17" s="32"/>
      <c r="N17" s="32"/>
      <c r="O17" s="32"/>
      <c r="P17" s="32"/>
    </row>
    <row r="18" spans="5:16">
      <c r="E18" s="32"/>
      <c r="F18" s="32"/>
      <c r="G18" s="32"/>
      <c r="H18" s="32"/>
      <c r="I18" s="32"/>
      <c r="J18" s="32"/>
      <c r="K18" s="32"/>
      <c r="L18" s="32"/>
      <c r="M18" s="32"/>
      <c r="N18" s="32"/>
      <c r="O18" s="32"/>
      <c r="P18" s="32"/>
    </row>
    <row r="19" spans="5:16">
      <c r="E19" s="32"/>
      <c r="F19" s="32"/>
      <c r="G19" s="32"/>
      <c r="H19" s="32"/>
      <c r="I19" s="32"/>
      <c r="J19" s="32"/>
      <c r="K19" s="32"/>
      <c r="L19" s="32"/>
      <c r="M19" s="32"/>
      <c r="N19" s="32"/>
      <c r="O19" s="32"/>
      <c r="P19" s="32"/>
    </row>
    <row r="20" spans="5:16">
      <c r="E20" s="32"/>
      <c r="F20" s="32"/>
      <c r="G20" s="32"/>
      <c r="H20" s="32"/>
      <c r="I20" s="32"/>
      <c r="J20" s="32"/>
      <c r="K20" s="32"/>
      <c r="L20" s="32"/>
      <c r="M20" s="32"/>
      <c r="N20" s="32"/>
      <c r="O20" s="32"/>
      <c r="P20" s="32"/>
    </row>
    <row r="21" spans="5:16">
      <c r="E21" s="32"/>
      <c r="F21" s="32"/>
      <c r="G21" s="32"/>
      <c r="H21" s="32"/>
      <c r="I21" s="32"/>
      <c r="J21" s="32"/>
      <c r="K21" s="32"/>
      <c r="L21" s="32"/>
      <c r="M21" s="32"/>
      <c r="N21" s="32"/>
      <c r="O21" s="32"/>
      <c r="P21" s="32"/>
    </row>
    <row r="22" spans="5:16">
      <c r="E22" s="32"/>
      <c r="F22" s="32"/>
      <c r="G22" s="32"/>
      <c r="H22" s="32"/>
      <c r="I22" s="32"/>
      <c r="J22" s="32"/>
      <c r="K22" s="32"/>
      <c r="L22" s="32"/>
      <c r="M22" s="32"/>
      <c r="N22" s="32"/>
      <c r="O22" s="32"/>
      <c r="P22" s="32"/>
    </row>
    <row r="23" spans="5:16">
      <c r="E23" s="32"/>
      <c r="F23" s="32"/>
      <c r="G23" s="32"/>
      <c r="H23" s="32"/>
      <c r="I23" s="32"/>
      <c r="J23" s="32"/>
      <c r="K23" s="32"/>
      <c r="L23" s="32"/>
      <c r="M23" s="32"/>
      <c r="N23" s="32"/>
      <c r="O23" s="32"/>
      <c r="P23" s="32"/>
    </row>
    <row r="24" spans="5:16">
      <c r="E24" s="32"/>
      <c r="F24" s="32"/>
      <c r="G24" s="32"/>
      <c r="H24" s="32"/>
      <c r="I24" s="32"/>
      <c r="J24" s="32"/>
      <c r="K24" s="32"/>
      <c r="L24" s="32"/>
      <c r="M24" s="32"/>
      <c r="N24" s="32"/>
      <c r="O24" s="32"/>
      <c r="P24" s="32"/>
    </row>
    <row r="25" spans="5:16">
      <c r="E25" s="32"/>
      <c r="F25" s="32"/>
      <c r="G25" s="32"/>
      <c r="H25" s="32"/>
      <c r="I25" s="32"/>
      <c r="J25" s="32"/>
      <c r="K25" s="32"/>
      <c r="L25" s="32"/>
      <c r="M25" s="32"/>
      <c r="N25" s="32"/>
      <c r="O25" s="32"/>
      <c r="P25" s="32"/>
    </row>
    <row r="26" spans="5:16">
      <c r="E26" s="32"/>
      <c r="F26" s="32"/>
      <c r="G26" s="32"/>
      <c r="H26" s="32"/>
      <c r="I26" s="32"/>
      <c r="J26" s="32"/>
      <c r="K26" s="32"/>
      <c r="L26" s="32"/>
      <c r="M26" s="32"/>
      <c r="N26" s="32"/>
      <c r="O26" s="32"/>
      <c r="P26" s="32"/>
    </row>
    <row r="27" spans="5:16">
      <c r="E27" s="32"/>
      <c r="F27" s="32"/>
      <c r="G27" s="32"/>
      <c r="H27" s="32"/>
      <c r="I27" s="32"/>
      <c r="J27" s="32"/>
      <c r="K27" s="32"/>
      <c r="L27" s="32"/>
      <c r="M27" s="32"/>
      <c r="N27" s="32"/>
      <c r="O27" s="32"/>
      <c r="P27" s="32"/>
    </row>
    <row r="28" spans="5:16">
      <c r="E28" s="32"/>
      <c r="F28" s="32"/>
      <c r="G28" s="32"/>
      <c r="H28" s="32"/>
      <c r="I28" s="32"/>
      <c r="J28" s="32"/>
      <c r="K28" s="32"/>
      <c r="L28" s="32"/>
      <c r="M28" s="32"/>
      <c r="N28" s="32"/>
      <c r="O28" s="32"/>
      <c r="P28" s="32"/>
    </row>
    <row r="29" spans="5:16">
      <c r="E29" s="32"/>
      <c r="F29" s="32"/>
      <c r="G29" s="32"/>
      <c r="H29" s="32"/>
      <c r="I29" s="32"/>
      <c r="J29" s="32"/>
      <c r="K29" s="32"/>
      <c r="L29" s="32"/>
      <c r="M29" s="32"/>
      <c r="N29" s="32"/>
      <c r="O29" s="32"/>
      <c r="P29" s="32"/>
    </row>
    <row r="30" spans="5:16">
      <c r="E30" s="32"/>
      <c r="F30" s="32"/>
      <c r="G30" s="32"/>
      <c r="H30" s="32"/>
      <c r="I30" s="32"/>
      <c r="J30" s="32"/>
      <c r="K30" s="32"/>
      <c r="L30" s="32"/>
      <c r="M30" s="32"/>
      <c r="N30" s="32"/>
      <c r="O30" s="32"/>
      <c r="P30" s="32"/>
    </row>
    <row r="31" spans="5:16">
      <c r="E31" s="32"/>
      <c r="F31" s="32"/>
      <c r="G31" s="32"/>
      <c r="H31" s="32"/>
      <c r="I31" s="32"/>
      <c r="J31" s="32"/>
      <c r="K31" s="32"/>
      <c r="L31" s="32"/>
      <c r="M31" s="32"/>
      <c r="N31" s="32"/>
      <c r="O31" s="32"/>
      <c r="P31" s="32"/>
    </row>
    <row r="32" spans="5:16">
      <c r="E32" s="32"/>
      <c r="F32" s="32"/>
      <c r="G32" s="32"/>
      <c r="H32" s="32"/>
      <c r="I32" s="32"/>
      <c r="J32" s="32"/>
      <c r="K32" s="32"/>
      <c r="L32" s="32"/>
      <c r="M32" s="32"/>
      <c r="N32" s="32"/>
      <c r="O32" s="32"/>
      <c r="P32" s="32"/>
    </row>
    <row r="33" spans="2:16">
      <c r="E33" s="32"/>
      <c r="F33" s="32"/>
      <c r="G33" s="32"/>
      <c r="H33" s="32"/>
      <c r="I33" s="32"/>
      <c r="J33" s="32"/>
      <c r="K33" s="32"/>
      <c r="L33" s="32"/>
      <c r="M33" s="32"/>
      <c r="N33" s="32"/>
      <c r="O33" s="32"/>
      <c r="P33" s="32"/>
    </row>
    <row r="34" spans="2:16">
      <c r="E34" s="32"/>
      <c r="F34" s="32"/>
      <c r="G34" s="32"/>
      <c r="H34" s="32"/>
      <c r="I34" s="32"/>
      <c r="J34" s="32"/>
      <c r="K34" s="32"/>
      <c r="L34" s="32"/>
      <c r="M34" s="32"/>
      <c r="N34" s="32"/>
      <c r="O34" s="32"/>
      <c r="P34" s="32"/>
    </row>
    <row r="35" spans="2:16">
      <c r="E35" s="32"/>
      <c r="F35" s="32"/>
      <c r="G35" s="32"/>
      <c r="H35" s="32"/>
      <c r="I35" s="32"/>
      <c r="J35" s="32"/>
      <c r="K35" s="32"/>
      <c r="L35" s="32"/>
      <c r="M35" s="32"/>
      <c r="N35" s="32"/>
      <c r="O35" s="32"/>
      <c r="P35" s="32"/>
    </row>
    <row r="36" spans="2:16">
      <c r="E36" s="32"/>
      <c r="F36" s="32"/>
      <c r="G36" s="32"/>
      <c r="H36" s="32"/>
      <c r="I36" s="32"/>
      <c r="J36" s="32"/>
      <c r="K36" s="32"/>
      <c r="L36" s="32"/>
      <c r="M36" s="32"/>
      <c r="N36" s="32"/>
      <c r="O36" s="32"/>
      <c r="P36" s="32"/>
    </row>
    <row r="37" spans="2:16">
      <c r="B37" s="2" t="s">
        <v>108</v>
      </c>
      <c r="C37" s="2" t="s">
        <v>109</v>
      </c>
      <c r="E37" s="32"/>
      <c r="F37" s="32"/>
      <c r="G37" s="32"/>
      <c r="H37" s="32"/>
      <c r="I37" s="32"/>
      <c r="J37" s="32"/>
      <c r="K37" s="32"/>
      <c r="L37" s="32"/>
      <c r="M37" s="32"/>
      <c r="N37" s="32"/>
      <c r="O37" s="32"/>
      <c r="P37" s="32"/>
    </row>
    <row r="38" spans="2:16">
      <c r="C38" s="2" t="s">
        <v>110</v>
      </c>
      <c r="E38" s="32"/>
      <c r="F38" s="32"/>
      <c r="G38" s="32"/>
      <c r="H38" s="32"/>
      <c r="I38" s="32"/>
      <c r="J38" s="32"/>
      <c r="K38" s="32"/>
      <c r="L38" s="32"/>
      <c r="M38" s="32"/>
      <c r="N38" s="32"/>
      <c r="O38" s="32"/>
      <c r="P38" s="32"/>
    </row>
  </sheetData>
  <pageMargins left="0.7" right="0.7" top="0.75" bottom="0.75" header="0.3" footer="0.3"/>
  <pageSetup paperSize="9" orientation="portrait" r:id="rId1"/>
  <headerFooter>
    <oddHeader>&amp;L&amp;"Calibri"&amp;10&amp;K000000Classified&amp;1#</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9CFAC-AD15-4085-A354-7AED85F86B59}">
  <dimension ref="A1:B19"/>
  <sheetViews>
    <sheetView workbookViewId="0">
      <selection activeCell="A15" sqref="A15:B15"/>
    </sheetView>
  </sheetViews>
  <sheetFormatPr defaultRowHeight="14.4"/>
  <cols>
    <col min="1" max="1" width="11.5546875" customWidth="1"/>
    <col min="2" max="2" width="140.21875" customWidth="1"/>
  </cols>
  <sheetData>
    <row r="1" spans="1:2">
      <c r="A1" s="44" t="s">
        <v>111</v>
      </c>
    </row>
    <row r="2" spans="1:2">
      <c r="A2" s="38"/>
    </row>
    <row r="3" spans="1:2">
      <c r="A3" s="44" t="s">
        <v>112</v>
      </c>
      <c r="B3" s="1" t="s">
        <v>113</v>
      </c>
    </row>
    <row r="4" spans="1:2">
      <c r="A4" s="38">
        <v>2017</v>
      </c>
      <c r="B4" s="2" t="s">
        <v>114</v>
      </c>
    </row>
    <row r="5" spans="1:2" ht="40.200000000000003">
      <c r="A5" s="45">
        <v>43135</v>
      </c>
      <c r="B5" s="46" t="s">
        <v>122</v>
      </c>
    </row>
    <row r="6" spans="1:2">
      <c r="A6" s="47">
        <v>43158</v>
      </c>
      <c r="B6" s="2" t="s">
        <v>115</v>
      </c>
    </row>
    <row r="7" spans="1:2">
      <c r="A7" s="47">
        <v>43496</v>
      </c>
      <c r="B7" s="2" t="s">
        <v>116</v>
      </c>
    </row>
    <row r="8" spans="1:2">
      <c r="A8" s="47">
        <v>43891</v>
      </c>
      <c r="B8" s="2" t="s">
        <v>117</v>
      </c>
    </row>
    <row r="9" spans="1:2">
      <c r="A9" s="47">
        <v>44197</v>
      </c>
      <c r="B9" s="2" t="s">
        <v>118</v>
      </c>
    </row>
    <row r="10" spans="1:2">
      <c r="A10" s="47">
        <v>44564</v>
      </c>
      <c r="B10" s="2" t="s">
        <v>119</v>
      </c>
    </row>
    <row r="11" spans="1:2">
      <c r="A11" s="47">
        <v>44810</v>
      </c>
      <c r="B11" s="2" t="s">
        <v>123</v>
      </c>
    </row>
    <row r="12" spans="1:2">
      <c r="A12" s="47">
        <v>44830</v>
      </c>
      <c r="B12" s="2" t="s">
        <v>125</v>
      </c>
    </row>
    <row r="13" spans="1:2">
      <c r="A13" s="47">
        <v>44907</v>
      </c>
      <c r="B13" s="2" t="s">
        <v>127</v>
      </c>
    </row>
    <row r="14" spans="1:2">
      <c r="A14" s="47">
        <v>44923</v>
      </c>
      <c r="B14" s="2" t="s">
        <v>149</v>
      </c>
    </row>
    <row r="15" spans="1:2">
      <c r="A15" s="47">
        <v>45310</v>
      </c>
      <c r="B15" s="2" t="s">
        <v>156</v>
      </c>
    </row>
    <row r="16" spans="1:2">
      <c r="A16" s="38"/>
    </row>
    <row r="17" spans="1:2">
      <c r="A17" s="38"/>
      <c r="B17" s="1" t="s">
        <v>120</v>
      </c>
    </row>
    <row r="18" spans="1:2" ht="30" customHeight="1">
      <c r="A18" s="38"/>
      <c r="B18" s="46" t="s">
        <v>124</v>
      </c>
    </row>
    <row r="19" spans="1:2">
      <c r="A19" s="38"/>
      <c r="B19" s="2" t="s">
        <v>121</v>
      </c>
    </row>
  </sheetData>
  <pageMargins left="0.7" right="0.7" top="0.75" bottom="0.75" header="0.3" footer="0.3"/>
  <pageSetup paperSize="9" orientation="portrait" r:id="rId1"/>
  <headerFooter>
    <oddHeader>&amp;L&amp;"Calibri"&amp;10&amp;K000000Classified&amp;1#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Modelldaten</vt:lpstr>
      <vt:lpstr>Geschäftsmodell</vt:lpstr>
      <vt:lpstr>Annuitäten</vt:lpstr>
      <vt:lpstr>Strompreisentwicklung</vt:lpstr>
      <vt:lpstr>Version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Boeke</dc:creator>
  <cp:lastModifiedBy>Ulrich Boeke</cp:lastModifiedBy>
  <dcterms:created xsi:type="dcterms:W3CDTF">2022-09-06T16:43:16Z</dcterms:created>
  <dcterms:modified xsi:type="dcterms:W3CDTF">2024-01-30T17:36:08Z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f7727a-510c-40ce-a418-7fdfc8e6513f_Enabled">
    <vt:lpwstr>true</vt:lpwstr>
  </property>
  <property fmtid="{D5CDD505-2E9C-101B-9397-08002B2CF9AE}" pid="3" name="MSIP_Label_00f7727a-510c-40ce-a418-7fdfc8e6513f_SetDate">
    <vt:lpwstr>2023-01-29T19:08:26Z</vt:lpwstr>
  </property>
  <property fmtid="{D5CDD505-2E9C-101B-9397-08002B2CF9AE}" pid="4" name="MSIP_Label_00f7727a-510c-40ce-a418-7fdfc8e6513f_Method">
    <vt:lpwstr>Standard</vt:lpwstr>
  </property>
  <property fmtid="{D5CDD505-2E9C-101B-9397-08002B2CF9AE}" pid="5" name="MSIP_Label_00f7727a-510c-40ce-a418-7fdfc8e6513f_Name">
    <vt:lpwstr>Classified (without encryption)</vt:lpwstr>
  </property>
  <property fmtid="{D5CDD505-2E9C-101B-9397-08002B2CF9AE}" pid="6" name="MSIP_Label_00f7727a-510c-40ce-a418-7fdfc8e6513f_SiteId">
    <vt:lpwstr>75b2f54b-feff-400d-8e0b-67102edb9a23</vt:lpwstr>
  </property>
  <property fmtid="{D5CDD505-2E9C-101B-9397-08002B2CF9AE}" pid="7" name="MSIP_Label_00f7727a-510c-40ce-a418-7fdfc8e6513f_ActionId">
    <vt:lpwstr>b7c23277-04e4-4466-9798-e51e1b7ce313</vt:lpwstr>
  </property>
  <property fmtid="{D5CDD505-2E9C-101B-9397-08002B2CF9AE}" pid="8" name="MSIP_Label_00f7727a-510c-40ce-a418-7fdfc8e6513f_ContentBits">
    <vt:lpwstr>1</vt:lpwstr>
  </property>
</Properties>
</file>