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Data\2024-03-20_Prima_Klima-Strom_von_der_Sonne\"/>
    </mc:Choice>
  </mc:AlternateContent>
  <xr:revisionPtr revIDLastSave="0" documentId="13_ncr:1_{F4E96E12-648C-440D-8B4E-B9DD45ADC5A2}" xr6:coauthVersionLast="47" xr6:coauthVersionMax="47" xr10:uidLastSave="{00000000-0000-0000-0000-000000000000}"/>
  <bookViews>
    <workbookView xWindow="-108" yWindow="-108" windowWidth="23256" windowHeight="12576" xr2:uid="{2AE92735-1455-4506-B25A-C99A343BD769}"/>
  </bookViews>
  <sheets>
    <sheet name="Modelldaten" sheetId="1" r:id="rId1"/>
    <sheet name="Geschäftsmodell" sheetId="2" r:id="rId2"/>
    <sheet name="Annuitäten" sheetId="3" r:id="rId3"/>
    <sheet name="Strompreisentwicklung" sheetId="4" r:id="rId4"/>
    <sheet name="Version Info"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 l="1"/>
  <c r="C6" i="1"/>
  <c r="R15" i="4"/>
  <c r="R14" i="4"/>
  <c r="Q15" i="4" l="1"/>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C26" i="2"/>
  <c r="P13" i="4"/>
  <c r="Q14" i="4" l="1"/>
  <c r="AG9" i="2"/>
  <c r="AG12" i="2" s="1"/>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D25" i="2"/>
  <c r="C25" i="2"/>
  <c r="E15" i="2"/>
  <c r="F15" i="2"/>
  <c r="G15" i="2"/>
  <c r="H15" i="2"/>
  <c r="I15" i="2"/>
  <c r="J15" i="2"/>
  <c r="K15" i="2"/>
  <c r="L15" i="2"/>
  <c r="M15" i="2"/>
  <c r="N15" i="2"/>
  <c r="O15" i="2"/>
  <c r="P15" i="2"/>
  <c r="Q15" i="2"/>
  <c r="R15" i="2"/>
  <c r="S15" i="2"/>
  <c r="T15" i="2"/>
  <c r="U15" i="2"/>
  <c r="V15" i="2"/>
  <c r="W15" i="2"/>
  <c r="D15" i="2"/>
  <c r="C15"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E14" i="2"/>
  <c r="D14" i="2"/>
  <c r="C14" i="2"/>
  <c r="J12" i="2"/>
  <c r="G9" i="2"/>
  <c r="G12" i="2" s="1"/>
  <c r="H9" i="2"/>
  <c r="H12" i="2" s="1"/>
  <c r="I9" i="2"/>
  <c r="I12" i="2" s="1"/>
  <c r="J9" i="2"/>
  <c r="J10" i="2" s="1"/>
  <c r="K9" i="2"/>
  <c r="K12" i="2" s="1"/>
  <c r="L9" i="2"/>
  <c r="L12" i="2" s="1"/>
  <c r="M9" i="2"/>
  <c r="M12" i="2" s="1"/>
  <c r="N9" i="2"/>
  <c r="N12" i="2" s="1"/>
  <c r="O9" i="2"/>
  <c r="O10" i="2" s="1"/>
  <c r="P9" i="2"/>
  <c r="P10" i="2" s="1"/>
  <c r="Q9" i="2"/>
  <c r="Q12" i="2" s="1"/>
  <c r="Q91" i="2" s="1"/>
  <c r="R9" i="2"/>
  <c r="R12" i="2" s="1"/>
  <c r="R91" i="2" s="1"/>
  <c r="S9" i="2"/>
  <c r="S12" i="2" s="1"/>
  <c r="S91" i="2" s="1"/>
  <c r="T9" i="2"/>
  <c r="T12" i="2" s="1"/>
  <c r="U9" i="2"/>
  <c r="U12" i="2" s="1"/>
  <c r="V9" i="2"/>
  <c r="V10" i="2" s="1"/>
  <c r="W9" i="2"/>
  <c r="W12" i="2" s="1"/>
  <c r="X9" i="2"/>
  <c r="X12" i="2" s="1"/>
  <c r="Y9" i="2"/>
  <c r="Y12" i="2" s="1"/>
  <c r="Z9" i="2"/>
  <c r="Z12" i="2" s="1"/>
  <c r="AA9" i="2"/>
  <c r="AA10" i="2" s="1"/>
  <c r="AB9" i="2"/>
  <c r="AB12" i="2" s="1"/>
  <c r="AC9" i="2"/>
  <c r="AC12" i="2" s="1"/>
  <c r="AC91" i="2" s="1"/>
  <c r="AD9" i="2"/>
  <c r="AD10" i="2" s="1"/>
  <c r="AE9" i="2"/>
  <c r="AE12" i="2" s="1"/>
  <c r="AF9" i="2"/>
  <c r="AF12" i="2" s="1"/>
  <c r="F9" i="2"/>
  <c r="F10" i="2" s="1"/>
  <c r="E9" i="2"/>
  <c r="E12" i="2" s="1"/>
  <c r="E91" i="2" s="1"/>
  <c r="D9" i="2"/>
  <c r="D12" i="2" s="1"/>
  <c r="C9" i="2"/>
  <c r="C88" i="2" s="1"/>
  <c r="I15" i="4"/>
  <c r="H15" i="4"/>
  <c r="G15" i="4"/>
  <c r="J14" i="4"/>
  <c r="I14" i="4"/>
  <c r="P15" i="4"/>
  <c r="O13" i="4"/>
  <c r="O15" i="4" s="1"/>
  <c r="N13" i="4"/>
  <c r="N15" i="4" s="1"/>
  <c r="M13" i="4"/>
  <c r="M15" i="4" s="1"/>
  <c r="L13" i="4"/>
  <c r="L14" i="4" s="1"/>
  <c r="K13" i="4"/>
  <c r="K15" i="4" s="1"/>
  <c r="J13" i="4"/>
  <c r="I13" i="4"/>
  <c r="H13" i="4"/>
  <c r="H14" i="4" s="1"/>
  <c r="G13" i="4"/>
  <c r="G14" i="4" s="1"/>
  <c r="F13" i="4"/>
  <c r="F15" i="4" s="1"/>
  <c r="E13" i="4"/>
  <c r="E15" i="4" s="1"/>
  <c r="D13" i="4"/>
  <c r="D15" i="4" s="1"/>
  <c r="C13" i="4"/>
  <c r="C15" i="4" s="1"/>
  <c r="B13" i="4"/>
  <c r="J15" i="4" s="1"/>
  <c r="C46" i="2"/>
  <c r="AH26" i="2"/>
  <c r="O88" i="2"/>
  <c r="C21" i="1"/>
  <c r="C16" i="1"/>
  <c r="C37" i="2" s="1"/>
  <c r="Z10" i="2" l="1"/>
  <c r="Z28" i="2" s="1"/>
  <c r="R10" i="2"/>
  <c r="R28" i="2" s="1"/>
  <c r="Y10" i="2"/>
  <c r="Q10" i="2"/>
  <c r="N10" i="2"/>
  <c r="N11" i="2" s="1"/>
  <c r="M10" i="2"/>
  <c r="M28" i="2" s="1"/>
  <c r="AD12" i="2"/>
  <c r="AD91" i="2" s="1"/>
  <c r="V12" i="2"/>
  <c r="V91" i="2" s="1"/>
  <c r="AC10" i="2"/>
  <c r="AC28" i="2" s="1"/>
  <c r="AG10" i="2"/>
  <c r="AG11" i="2" s="1"/>
  <c r="Y28" i="2"/>
  <c r="C10" i="2"/>
  <c r="C28" i="2" s="1"/>
  <c r="X10" i="2"/>
  <c r="X28" i="2" s="1"/>
  <c r="L10" i="2"/>
  <c r="L28" i="2" s="1"/>
  <c r="F12" i="2"/>
  <c r="F91" i="2" s="1"/>
  <c r="AA88" i="2"/>
  <c r="D10" i="2"/>
  <c r="D28" i="2" s="1"/>
  <c r="W10" i="2"/>
  <c r="W28" i="2" s="1"/>
  <c r="K10" i="2"/>
  <c r="K89" i="2" s="1"/>
  <c r="P12" i="2"/>
  <c r="P91" i="2" s="1"/>
  <c r="AB91" i="2"/>
  <c r="E10" i="2"/>
  <c r="E28" i="2" s="1"/>
  <c r="AA12" i="2"/>
  <c r="AA91" i="2" s="1"/>
  <c r="O12" i="2"/>
  <c r="O91" i="2" s="1"/>
  <c r="V28" i="2"/>
  <c r="J28" i="2"/>
  <c r="AF10" i="2"/>
  <c r="AF28" i="2" s="1"/>
  <c r="T10" i="2"/>
  <c r="T89" i="2" s="1"/>
  <c r="H10" i="2"/>
  <c r="H89" i="2" s="1"/>
  <c r="H28" i="2"/>
  <c r="U10" i="2"/>
  <c r="U89" i="2" s="1"/>
  <c r="I10" i="2"/>
  <c r="I28" i="2" s="1"/>
  <c r="AE10" i="2"/>
  <c r="AE28" i="2" s="1"/>
  <c r="S10" i="2"/>
  <c r="S28" i="2" s="1"/>
  <c r="G10" i="2"/>
  <c r="G28" i="2" s="1"/>
  <c r="C12" i="2"/>
  <c r="C91" i="2" s="1"/>
  <c r="AD28" i="2"/>
  <c r="F28" i="2"/>
  <c r="Q28" i="2"/>
  <c r="AB10" i="2"/>
  <c r="AB28" i="2" s="1"/>
  <c r="P28" i="2"/>
  <c r="AA28" i="2"/>
  <c r="O28" i="2"/>
  <c r="N28" i="2"/>
  <c r="D91" i="2"/>
  <c r="P88" i="2"/>
  <c r="AB88" i="2"/>
  <c r="D88" i="2"/>
  <c r="M14" i="4"/>
  <c r="N14" i="4"/>
  <c r="C14" i="4"/>
  <c r="O14" i="4"/>
  <c r="D14" i="4"/>
  <c r="P14" i="4"/>
  <c r="E14" i="4"/>
  <c r="K14" i="4"/>
  <c r="L15" i="4"/>
  <c r="F14" i="4"/>
  <c r="V89" i="2"/>
  <c r="V18" i="2"/>
  <c r="J89" i="2"/>
  <c r="J18" i="2"/>
  <c r="AE18" i="2"/>
  <c r="H18" i="2"/>
  <c r="AF89" i="2"/>
  <c r="AF18" i="2"/>
  <c r="L11" i="2"/>
  <c r="H91" i="2"/>
  <c r="T91" i="2"/>
  <c r="AF91" i="2"/>
  <c r="E88" i="2"/>
  <c r="Q88" i="2"/>
  <c r="AC88" i="2"/>
  <c r="M11" i="2"/>
  <c r="Y11" i="2"/>
  <c r="I91" i="2"/>
  <c r="U91" i="2"/>
  <c r="AG91" i="2"/>
  <c r="F88" i="2"/>
  <c r="R88" i="2"/>
  <c r="AD88" i="2"/>
  <c r="AH9" i="2"/>
  <c r="F11" i="2"/>
  <c r="J91" i="2"/>
  <c r="K18" i="2"/>
  <c r="AH25" i="2"/>
  <c r="G88" i="2"/>
  <c r="S88" i="2"/>
  <c r="AE88" i="2"/>
  <c r="K91" i="2"/>
  <c r="W91" i="2"/>
  <c r="H88" i="2"/>
  <c r="T88" i="2"/>
  <c r="AF88" i="2"/>
  <c r="H11" i="2"/>
  <c r="T11" i="2"/>
  <c r="AF11" i="2"/>
  <c r="L91" i="2"/>
  <c r="X91" i="2"/>
  <c r="I88" i="2"/>
  <c r="U88" i="2"/>
  <c r="AG88" i="2"/>
  <c r="AE91" i="2"/>
  <c r="M91" i="2"/>
  <c r="Y91" i="2"/>
  <c r="J88" i="2"/>
  <c r="V88" i="2"/>
  <c r="G91" i="2"/>
  <c r="R11" i="2"/>
  <c r="AD11" i="2"/>
  <c r="J11" i="2"/>
  <c r="V11" i="2"/>
  <c r="N91" i="2"/>
  <c r="Z91" i="2"/>
  <c r="K88" i="2"/>
  <c r="W88" i="2"/>
  <c r="L88" i="2"/>
  <c r="X88" i="2"/>
  <c r="M88" i="2"/>
  <c r="Y88" i="2"/>
  <c r="N88" i="2"/>
  <c r="Z88" i="2"/>
  <c r="E31" i="1"/>
  <c r="C22" i="1"/>
  <c r="C18" i="1"/>
  <c r="C49" i="2" s="1"/>
  <c r="R27" i="2" s="1"/>
  <c r="G89" i="2" l="1"/>
  <c r="Z11" i="2"/>
  <c r="T28" i="2"/>
  <c r="K11" i="2"/>
  <c r="K19" i="2" s="1"/>
  <c r="AE11" i="2"/>
  <c r="G18" i="2"/>
  <c r="G11" i="2"/>
  <c r="V27" i="2"/>
  <c r="P27" i="2"/>
  <c r="I89" i="2"/>
  <c r="AE89" i="2"/>
  <c r="AG28" i="2"/>
  <c r="AE27" i="2"/>
  <c r="X11" i="2"/>
  <c r="T18" i="2"/>
  <c r="AG18" i="2"/>
  <c r="AG89" i="2"/>
  <c r="AB11" i="2"/>
  <c r="AB19" i="2" s="1"/>
  <c r="W89" i="2"/>
  <c r="G27" i="2"/>
  <c r="D27" i="2"/>
  <c r="U27" i="2"/>
  <c r="S27" i="2"/>
  <c r="AG40" i="2"/>
  <c r="AH40" i="2" s="1"/>
  <c r="O27" i="2"/>
  <c r="AB27" i="2"/>
  <c r="AD27" i="2"/>
  <c r="AF27" i="2"/>
  <c r="T27" i="2"/>
  <c r="B14" i="3"/>
  <c r="B18" i="3" s="1"/>
  <c r="B21" i="3" s="1"/>
  <c r="L27" i="2"/>
  <c r="U28" i="2"/>
  <c r="I18" i="2"/>
  <c r="N27" i="2"/>
  <c r="Y27" i="2"/>
  <c r="AG27" i="2"/>
  <c r="S11" i="2"/>
  <c r="S19" i="2" s="1"/>
  <c r="W27" i="2"/>
  <c r="Z27" i="2"/>
  <c r="R39" i="2"/>
  <c r="AH39" i="2" s="1"/>
  <c r="C27" i="1"/>
  <c r="D31" i="2"/>
  <c r="C31" i="2"/>
  <c r="D23" i="2" s="1"/>
  <c r="E27" i="2"/>
  <c r="H27" i="2"/>
  <c r="C38" i="2"/>
  <c r="C97" i="2" s="1"/>
  <c r="U11" i="2"/>
  <c r="U19" i="2" s="1"/>
  <c r="W11" i="2"/>
  <c r="W90" i="2" s="1"/>
  <c r="I11" i="2"/>
  <c r="I19" i="2" s="1"/>
  <c r="U18" i="2"/>
  <c r="AC27" i="2"/>
  <c r="I27" i="2"/>
  <c r="K28" i="2"/>
  <c r="X27" i="2"/>
  <c r="J27" i="2"/>
  <c r="Q27" i="2"/>
  <c r="AA27" i="2"/>
  <c r="M27" i="2"/>
  <c r="F27" i="2"/>
  <c r="K27" i="2"/>
  <c r="K90" i="2"/>
  <c r="AH88" i="2"/>
  <c r="W18" i="2"/>
  <c r="K20" i="2"/>
  <c r="AB90" i="2"/>
  <c r="AF19" i="2"/>
  <c r="AF20" i="2" s="1"/>
  <c r="AF90" i="2"/>
  <c r="N19" i="2"/>
  <c r="N90" i="2"/>
  <c r="V19" i="2"/>
  <c r="V20" i="2" s="1"/>
  <c r="V90" i="2"/>
  <c r="AA11" i="2"/>
  <c r="AA89" i="2"/>
  <c r="AA18" i="2"/>
  <c r="Y90" i="2"/>
  <c r="Y19" i="2"/>
  <c r="AC89" i="2"/>
  <c r="AC18" i="2"/>
  <c r="O89" i="2"/>
  <c r="O18" i="2"/>
  <c r="O11" i="2"/>
  <c r="AD89" i="2"/>
  <c r="AD18" i="2"/>
  <c r="P89" i="2"/>
  <c r="P18" i="2"/>
  <c r="R19" i="2"/>
  <c r="R90" i="2"/>
  <c r="R89" i="2"/>
  <c r="R18" i="2"/>
  <c r="E89" i="2"/>
  <c r="E18" i="2"/>
  <c r="D89" i="2"/>
  <c r="D18" i="2"/>
  <c r="F19" i="2"/>
  <c r="F90" i="2"/>
  <c r="E11" i="2"/>
  <c r="P11" i="2"/>
  <c r="L90" i="2"/>
  <c r="L19" i="2"/>
  <c r="F89" i="2"/>
  <c r="F18" i="2"/>
  <c r="Z89" i="2"/>
  <c r="Z18" i="2"/>
  <c r="Y89" i="2"/>
  <c r="Y18" i="2"/>
  <c r="D11" i="2"/>
  <c r="AG19" i="2"/>
  <c r="AG90" i="2"/>
  <c r="T19" i="2"/>
  <c r="T90" i="2"/>
  <c r="H19" i="2"/>
  <c r="H20" i="2" s="1"/>
  <c r="H90" i="2"/>
  <c r="J19" i="2"/>
  <c r="J20" i="2" s="1"/>
  <c r="J90" i="2"/>
  <c r="AB89" i="2"/>
  <c r="AB18" i="2"/>
  <c r="AD19" i="2"/>
  <c r="AD90" i="2"/>
  <c r="AC11" i="2"/>
  <c r="M90" i="2"/>
  <c r="M19" i="2"/>
  <c r="Q89" i="2"/>
  <c r="Q18" i="2"/>
  <c r="AH10" i="2"/>
  <c r="C11" i="2"/>
  <c r="C89" i="2"/>
  <c r="C18" i="2"/>
  <c r="Q11" i="2"/>
  <c r="X90" i="2"/>
  <c r="X19" i="2"/>
  <c r="N89" i="2"/>
  <c r="N18" i="2"/>
  <c r="M89" i="2"/>
  <c r="M18" i="2"/>
  <c r="X89" i="2"/>
  <c r="X18" i="2"/>
  <c r="L89" i="2"/>
  <c r="L18" i="2"/>
  <c r="Z19" i="2"/>
  <c r="Z90" i="2"/>
  <c r="G19" i="2"/>
  <c r="G20" i="2" s="1"/>
  <c r="G90" i="2"/>
  <c r="S89" i="2"/>
  <c r="S18" i="2"/>
  <c r="AE19" i="2"/>
  <c r="AE20" i="2" s="1"/>
  <c r="AE90" i="2"/>
  <c r="T20" i="2" l="1"/>
  <c r="AJ38" i="2"/>
  <c r="AB20" i="2"/>
  <c r="U90" i="2"/>
  <c r="I90" i="2"/>
  <c r="S90" i="2"/>
  <c r="AG20" i="2"/>
  <c r="D29" i="2"/>
  <c r="AH27" i="2"/>
  <c r="U20" i="2"/>
  <c r="I20" i="2"/>
  <c r="E23" i="2"/>
  <c r="E31" i="2" s="1"/>
  <c r="W19" i="2"/>
  <c r="W20" i="2" s="1"/>
  <c r="B19" i="3"/>
  <c r="F20" i="2"/>
  <c r="N20" i="2"/>
  <c r="R20" i="2"/>
  <c r="Y20" i="2"/>
  <c r="S20" i="2"/>
  <c r="D19" i="2"/>
  <c r="D20" i="2" s="1"/>
  <c r="D90" i="2"/>
  <c r="L20" i="2"/>
  <c r="P19" i="2"/>
  <c r="P20" i="2" s="1"/>
  <c r="P90" i="2"/>
  <c r="E19" i="2"/>
  <c r="E20" i="2" s="1"/>
  <c r="E90" i="2"/>
  <c r="AA19" i="2"/>
  <c r="AA20" i="2" s="1"/>
  <c r="AA90" i="2"/>
  <c r="X20" i="2"/>
  <c r="Q19" i="2"/>
  <c r="Q20" i="2" s="1"/>
  <c r="Q90" i="2"/>
  <c r="AC19" i="2"/>
  <c r="AC20" i="2" s="1"/>
  <c r="AC90" i="2"/>
  <c r="Z20" i="2"/>
  <c r="O19" i="2"/>
  <c r="O20" i="2" s="1"/>
  <c r="O90" i="2"/>
  <c r="AH18" i="2"/>
  <c r="AH28" i="2"/>
  <c r="C29" i="2"/>
  <c r="M20" i="2"/>
  <c r="AD20" i="2"/>
  <c r="AH11" i="2"/>
  <c r="C19" i="2"/>
  <c r="C20" i="2" s="1"/>
  <c r="C90" i="2"/>
  <c r="D33" i="2" l="1"/>
  <c r="D36" i="2" s="1"/>
  <c r="E24" i="2"/>
  <c r="E29" i="2" s="1"/>
  <c r="E33" i="2" s="1"/>
  <c r="E36" i="2" s="1"/>
  <c r="F23" i="2"/>
  <c r="F31" i="2" s="1"/>
  <c r="C33" i="2"/>
  <c r="AH20" i="2"/>
  <c r="AH19" i="2"/>
  <c r="G23" i="2" l="1"/>
  <c r="G24" i="2" s="1"/>
  <c r="F24" i="2"/>
  <c r="F29" i="2" s="1"/>
  <c r="F33" i="2" s="1"/>
  <c r="F36" i="2" s="1"/>
  <c r="C36" i="2"/>
  <c r="G29" i="2" l="1"/>
  <c r="G33" i="2" s="1"/>
  <c r="G31" i="2"/>
  <c r="C41" i="2"/>
  <c r="D41" i="2" s="1"/>
  <c r="E41" i="2" s="1"/>
  <c r="F41" i="2" s="1"/>
  <c r="C42" i="2"/>
  <c r="H23" i="2" l="1"/>
  <c r="H31" i="2" s="1"/>
  <c r="G36" i="2"/>
  <c r="G41" i="2" s="1"/>
  <c r="I23" i="2" l="1"/>
  <c r="I31" i="2" s="1"/>
  <c r="H24" i="2"/>
  <c r="H29" i="2" s="1"/>
  <c r="H33" i="2" s="1"/>
  <c r="H36" i="2" s="1"/>
  <c r="H41" i="2" s="1"/>
  <c r="J23" i="2" l="1"/>
  <c r="J31" i="2" s="1"/>
  <c r="K23" i="2" s="1"/>
  <c r="I24" i="2"/>
  <c r="I29" i="2" s="1"/>
  <c r="I33" i="2" s="1"/>
  <c r="I36" i="2" s="1"/>
  <c r="I41" i="2" s="1"/>
  <c r="J24" i="2" l="1"/>
  <c r="J29" i="2" s="1"/>
  <c r="J33" i="2" s="1"/>
  <c r="J36" i="2" s="1"/>
  <c r="J41" i="2" s="1"/>
  <c r="K24" i="2"/>
  <c r="K29" i="2" s="1"/>
  <c r="K33" i="2" s="1"/>
  <c r="K36" i="2" s="1"/>
  <c r="K31" i="2"/>
  <c r="K41" i="2" l="1"/>
  <c r="L23" i="2"/>
  <c r="L24" i="2" l="1"/>
  <c r="L29" i="2" s="1"/>
  <c r="L33" i="2" s="1"/>
  <c r="L36" i="2" s="1"/>
  <c r="L41" i="2" s="1"/>
  <c r="L31" i="2"/>
  <c r="M23" i="2" l="1"/>
  <c r="M24" i="2" l="1"/>
  <c r="M29" i="2" s="1"/>
  <c r="M33" i="2" s="1"/>
  <c r="M36" i="2" s="1"/>
  <c r="M41" i="2" s="1"/>
  <c r="M31" i="2"/>
  <c r="N23" i="2" l="1"/>
  <c r="N24" i="2" l="1"/>
  <c r="N29" i="2" s="1"/>
  <c r="N33" i="2" s="1"/>
  <c r="N36" i="2" s="1"/>
  <c r="N41" i="2" s="1"/>
  <c r="N31" i="2"/>
  <c r="O23" i="2" l="1"/>
  <c r="O24" i="2" l="1"/>
  <c r="O29" i="2" s="1"/>
  <c r="O33" i="2" s="1"/>
  <c r="O36" i="2" s="1"/>
  <c r="O41" i="2" s="1"/>
  <c r="O31" i="2"/>
  <c r="P23" i="2" l="1"/>
  <c r="P24" i="2" l="1"/>
  <c r="P29" i="2" s="1"/>
  <c r="P33" i="2" s="1"/>
  <c r="P36" i="2" s="1"/>
  <c r="P41" i="2" s="1"/>
  <c r="P31" i="2"/>
  <c r="Q23" i="2" l="1"/>
  <c r="Q24" i="2" l="1"/>
  <c r="Q29" i="2" s="1"/>
  <c r="Q33" i="2" s="1"/>
  <c r="Q36" i="2" s="1"/>
  <c r="Q41" i="2" s="1"/>
  <c r="Q31" i="2"/>
  <c r="R23" i="2" l="1"/>
  <c r="R24" i="2" l="1"/>
  <c r="R29" i="2" s="1"/>
  <c r="R33" i="2" s="1"/>
  <c r="R36" i="2" s="1"/>
  <c r="R41" i="2" s="1"/>
  <c r="R31" i="2"/>
  <c r="S23" i="2" l="1"/>
  <c r="S24" i="2" l="1"/>
  <c r="S29" i="2" s="1"/>
  <c r="S33" i="2" s="1"/>
  <c r="S36" i="2" s="1"/>
  <c r="S41" i="2" s="1"/>
  <c r="S31" i="2"/>
  <c r="T23" i="2" l="1"/>
  <c r="T24" i="2" l="1"/>
  <c r="T29" i="2" s="1"/>
  <c r="T33" i="2" s="1"/>
  <c r="T36" i="2" s="1"/>
  <c r="T41" i="2" s="1"/>
  <c r="T31" i="2"/>
  <c r="U23" i="2" l="1"/>
  <c r="U24" i="2" l="1"/>
  <c r="U29" i="2" s="1"/>
  <c r="U33" i="2" s="1"/>
  <c r="U36" i="2" s="1"/>
  <c r="U41" i="2" s="1"/>
  <c r="U31" i="2"/>
  <c r="V23" i="2" l="1"/>
  <c r="V24" i="2" l="1"/>
  <c r="V29" i="2" s="1"/>
  <c r="V33" i="2" s="1"/>
  <c r="V36" i="2" s="1"/>
  <c r="V41" i="2" s="1"/>
  <c r="V31" i="2"/>
  <c r="W23" i="2" l="1"/>
  <c r="W24" i="2" l="1"/>
  <c r="W29" i="2" s="1"/>
  <c r="W33" i="2" s="1"/>
  <c r="W36" i="2" s="1"/>
  <c r="W41" i="2" s="1"/>
  <c r="W31" i="2"/>
  <c r="X23" i="2" l="1"/>
  <c r="X24" i="2" l="1"/>
  <c r="X29" i="2" s="1"/>
  <c r="X33" i="2" s="1"/>
  <c r="X36" i="2" s="1"/>
  <c r="X41" i="2" s="1"/>
  <c r="X31" i="2"/>
  <c r="Y23" i="2" l="1"/>
  <c r="Y24" i="2" l="1"/>
  <c r="Y29" i="2"/>
  <c r="Y31" i="2"/>
  <c r="Z23" i="2" l="1"/>
  <c r="Y33" i="2"/>
  <c r="Z24" i="2" l="1"/>
  <c r="Z29" i="2"/>
  <c r="Y36" i="2"/>
  <c r="Y41" i="2" s="1"/>
  <c r="Z31" i="2"/>
  <c r="AA23" i="2" l="1"/>
  <c r="Z33" i="2"/>
  <c r="AA24" i="2" l="1"/>
  <c r="AA29" i="2" s="1"/>
  <c r="Z36" i="2"/>
  <c r="Z41" i="2" s="1"/>
  <c r="AA31" i="2"/>
  <c r="AB23" i="2" l="1"/>
  <c r="AA33" i="2"/>
  <c r="AA36" i="2" l="1"/>
  <c r="AA41" i="2" s="1"/>
  <c r="AB24" i="2"/>
  <c r="AB29" i="2" s="1"/>
  <c r="AB31" i="2"/>
  <c r="AC23" i="2" l="1"/>
  <c r="AB33" i="2"/>
  <c r="AB36" i="2" l="1"/>
  <c r="AB41" i="2" s="1"/>
  <c r="AC24" i="2"/>
  <c r="AC29" i="2" s="1"/>
  <c r="AC31" i="2"/>
  <c r="AD23" i="2" l="1"/>
  <c r="AC33" i="2"/>
  <c r="AC36" i="2" l="1"/>
  <c r="AC41" i="2" s="1"/>
  <c r="AD24" i="2"/>
  <c r="AD29" i="2" s="1"/>
  <c r="AD33" i="2" s="1"/>
  <c r="AD36" i="2" s="1"/>
  <c r="AD41" i="2" s="1"/>
  <c r="AD31" i="2"/>
  <c r="AE23" i="2" l="1"/>
  <c r="AE24" i="2" l="1"/>
  <c r="AE29" i="2" s="1"/>
  <c r="AE33" i="2" s="1"/>
  <c r="AE36" i="2" s="1"/>
  <c r="AE41" i="2" s="1"/>
  <c r="AE31" i="2"/>
  <c r="AF23" i="2" l="1"/>
  <c r="AF24" i="2" l="1"/>
  <c r="AF29" i="2" s="1"/>
  <c r="AF33" i="2" s="1"/>
  <c r="AF36" i="2" s="1"/>
  <c r="AF41" i="2" s="1"/>
  <c r="AF31" i="2"/>
  <c r="AG23" i="2" l="1"/>
  <c r="AG24" i="2" l="1"/>
  <c r="AH24" i="2" s="1"/>
  <c r="AH23" i="2"/>
  <c r="AG31" i="2"/>
  <c r="AG29" i="2" l="1"/>
  <c r="AG33" i="2"/>
  <c r="AH29" i="2"/>
  <c r="AG36" i="2" l="1"/>
  <c r="AG41" i="2" s="1"/>
  <c r="B44" i="2" s="1"/>
  <c r="AH33" i="2"/>
  <c r="V45" i="2" l="1"/>
  <c r="S45" i="2"/>
  <c r="P45" i="2"/>
  <c r="W45" i="2"/>
  <c r="E45" i="2"/>
  <c r="Q45" i="2"/>
  <c r="N45" i="2"/>
  <c r="O45" i="2"/>
  <c r="X45" i="2"/>
  <c r="F45" i="2"/>
  <c r="R45" i="2"/>
  <c r="Y45" i="2"/>
  <c r="G45" i="2"/>
  <c r="D45" i="2"/>
  <c r="AF45" i="2"/>
  <c r="U45" i="2"/>
  <c r="Z45" i="2"/>
  <c r="H45" i="2"/>
  <c r="J45" i="2"/>
  <c r="AE45" i="2"/>
  <c r="AG45" i="2"/>
  <c r="AA45" i="2"/>
  <c r="I45" i="2"/>
  <c r="AB45" i="2"/>
  <c r="M45" i="2"/>
  <c r="T45" i="2"/>
  <c r="AC45" i="2"/>
  <c r="K45" i="2"/>
  <c r="AD45" i="2"/>
  <c r="L45" i="2"/>
  <c r="D38" i="2"/>
  <c r="Z38" i="2" l="1"/>
  <c r="Z97" i="2" s="1"/>
  <c r="G38" i="2"/>
  <c r="G97" i="2" s="1"/>
  <c r="X38" i="2"/>
  <c r="X97" i="2" s="1"/>
  <c r="K38" i="2"/>
  <c r="K97" i="2" s="1"/>
  <c r="AD38" i="2"/>
  <c r="AD97" i="2" s="1"/>
  <c r="O38" i="2"/>
  <c r="O97" i="2" s="1"/>
  <c r="Y38" i="2"/>
  <c r="Y97" i="2" s="1"/>
  <c r="L38" i="2"/>
  <c r="L97" i="2" s="1"/>
  <c r="H38" i="2"/>
  <c r="H97" i="2" s="1"/>
  <c r="S38" i="2"/>
  <c r="S97" i="2" s="1"/>
  <c r="M38" i="2"/>
  <c r="M97" i="2" s="1"/>
  <c r="P38" i="2"/>
  <c r="P97" i="2" s="1"/>
  <c r="AF38" i="2"/>
  <c r="AF97" i="2" s="1"/>
  <c r="R38" i="2"/>
  <c r="R97" i="2" s="1"/>
  <c r="U38" i="2"/>
  <c r="U97" i="2" s="1"/>
  <c r="Q38" i="2"/>
  <c r="Q97" i="2" s="1"/>
  <c r="N38" i="2"/>
  <c r="N97" i="2" s="1"/>
  <c r="AB38" i="2"/>
  <c r="AB97" i="2" s="1"/>
  <c r="T38" i="2"/>
  <c r="T97" i="2" s="1"/>
  <c r="AC38" i="2"/>
  <c r="AC97" i="2" s="1"/>
  <c r="F38" i="2"/>
  <c r="F97" i="2" s="1"/>
  <c r="J38" i="2"/>
  <c r="J97" i="2" s="1"/>
  <c r="V38" i="2"/>
  <c r="V97" i="2" s="1"/>
  <c r="AE38" i="2"/>
  <c r="AE97" i="2" s="1"/>
  <c r="W38" i="2"/>
  <c r="W97" i="2" s="1"/>
  <c r="AG38" i="2"/>
  <c r="AG97" i="2" s="1"/>
  <c r="AA38" i="2"/>
  <c r="AA97" i="2" s="1"/>
  <c r="I38" i="2"/>
  <c r="I97" i="2" s="1"/>
  <c r="E38" i="2"/>
  <c r="E97" i="2" s="1"/>
  <c r="D46" i="2"/>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AG46" i="2" s="1"/>
  <c r="D97" i="2" l="1"/>
  <c r="AH97" i="2" s="1"/>
  <c r="D42" i="2"/>
  <c r="E42" i="2" s="1"/>
  <c r="F42" i="2" s="1"/>
  <c r="G42" i="2" s="1"/>
  <c r="H42" i="2" s="1"/>
  <c r="I42" i="2" s="1"/>
  <c r="J42" i="2" s="1"/>
  <c r="K42" i="2" s="1"/>
  <c r="L42" i="2" s="1"/>
  <c r="M42" i="2" s="1"/>
  <c r="N42" i="2" s="1"/>
  <c r="O42" i="2" s="1"/>
  <c r="P42" i="2" s="1"/>
  <c r="Q42" i="2" s="1"/>
  <c r="R42" i="2" s="1"/>
  <c r="S42" i="2" s="1"/>
  <c r="T42" i="2" s="1"/>
  <c r="U42" i="2" s="1"/>
  <c r="V42" i="2" s="1"/>
  <c r="W42" i="2" s="1"/>
  <c r="X42" i="2" s="1"/>
  <c r="Y42" i="2" s="1"/>
  <c r="Z42" i="2" s="1"/>
  <c r="AA42" i="2" s="1"/>
  <c r="AB42" i="2" s="1"/>
  <c r="AC42" i="2" s="1"/>
  <c r="AD42" i="2" s="1"/>
  <c r="AE42" i="2" s="1"/>
  <c r="AF42" i="2" s="1"/>
  <c r="AG42" i="2" s="1"/>
  <c r="D49" i="2"/>
  <c r="E49" i="2" s="1"/>
  <c r="F49" i="2" s="1"/>
  <c r="G49" i="2" s="1"/>
  <c r="H49" i="2" s="1"/>
  <c r="I49" i="2" s="1"/>
  <c r="J49" i="2" s="1"/>
  <c r="K49" i="2" s="1"/>
  <c r="L49" i="2" s="1"/>
  <c r="M49" i="2" s="1"/>
  <c r="N49" i="2" s="1"/>
  <c r="O49" i="2" s="1"/>
  <c r="P49" i="2" s="1"/>
  <c r="Q49" i="2" s="1"/>
  <c r="R49" i="2" s="1"/>
  <c r="S49" i="2" s="1"/>
  <c r="T49" i="2" s="1"/>
  <c r="U49" i="2" s="1"/>
  <c r="V49" i="2" s="1"/>
  <c r="W49" i="2" s="1"/>
  <c r="X49" i="2" s="1"/>
  <c r="Y49" i="2" s="1"/>
  <c r="Z49" i="2" s="1"/>
  <c r="AA49" i="2" s="1"/>
  <c r="AB49" i="2" s="1"/>
  <c r="AC49" i="2" s="1"/>
  <c r="AD49" i="2" s="1"/>
  <c r="AE49" i="2" s="1"/>
  <c r="AF49" i="2" s="1"/>
  <c r="AG49" i="2" s="1"/>
  <c r="AK38" i="2" s="1"/>
  <c r="AH38" i="2"/>
  <c r="AI3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UB</author>
    <author>Ulrich Boeke</author>
  </authors>
  <commentList>
    <comment ref="A7" authorId="0" shapeId="0" xr:uid="{1253C7E7-059E-4187-A882-7E4EFCCAF362}">
      <text>
        <r>
          <rPr>
            <sz val="9"/>
            <color indexed="81"/>
            <rFont val="Tahoma"/>
            <family val="2"/>
          </rPr>
          <t>Ulrich Boeke:
Im Jahr der Installation und im kompletten ersten Betriebsjahr.
Dieser Wert reduziert sich in den darauffolgenden Jahren um die berücksichtigte Degradation der Solarmodule.</t>
        </r>
      </text>
    </comment>
    <comment ref="A8" authorId="0" shapeId="0" xr:uid="{0B869CC8-C61A-4B77-B27B-02CACFA54ED9}">
      <text>
        <r>
          <rPr>
            <sz val="9"/>
            <color indexed="81"/>
            <rFont val="Tahoma"/>
            <family val="2"/>
          </rPr>
          <t>Ulrich Boeke:
Dieser Parameter berücksichtigt die Reduktion des spezifischen Stromertrags ab dem zweiten Betriebsjahr.</t>
        </r>
      </text>
    </comment>
    <comment ref="A19" authorId="1" shapeId="0" xr:uid="{8BF2772A-82F3-45C8-B306-043729572016}">
      <text>
        <r>
          <rPr>
            <b/>
            <sz val="9"/>
            <color indexed="81"/>
            <rFont val="Tahoma"/>
            <family val="2"/>
          </rPr>
          <t>Ulrich Boeke:</t>
        </r>
        <r>
          <rPr>
            <sz val="9"/>
            <color indexed="81"/>
            <rFont val="Tahoma"/>
            <family val="2"/>
          </rPr>
          <t xml:space="preserve">
GBR = Gesellschaft Bürgerlichen Rechts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UB</author>
    <author>Ulrich Boeke</author>
    <author>dep07477</author>
  </authors>
  <commentList>
    <comment ref="C8" authorId="0" shapeId="0" xr:uid="{03776A67-747D-4A40-A987-21ABB94E0390}">
      <text>
        <r>
          <rPr>
            <b/>
            <sz val="9"/>
            <color indexed="81"/>
            <rFont val="Tahoma"/>
            <family val="2"/>
          </rPr>
          <t>Ulrich Boeke:</t>
        </r>
        <r>
          <rPr>
            <sz val="9"/>
            <color indexed="81"/>
            <rFont val="Tahoma"/>
            <family val="2"/>
          </rPr>
          <t xml:space="preserve">
Das Jahr "0" ist das Jahr der Installation. Hier wird berücksichtigt, dass 70 % des Solarstromertrags eines durchschnittlichen Jahres im Jahr der Installation erzeugt werden können. Dies entspricht einem Netzanschluss im Mai.</t>
        </r>
      </text>
    </comment>
    <comment ref="A25" authorId="1" shapeId="0" xr:uid="{8D710C65-3F88-4BF1-9588-2ECBD5D72647}">
      <text>
        <r>
          <rPr>
            <b/>
            <sz val="9"/>
            <color indexed="81"/>
            <rFont val="Tahoma"/>
            <family val="2"/>
          </rPr>
          <t>Ulrich Boeke:</t>
        </r>
        <r>
          <rPr>
            <sz val="9"/>
            <color indexed="81"/>
            <rFont val="Tahoma"/>
            <family val="2"/>
          </rPr>
          <t xml:space="preserve">
Dies ist die aktuell zulässige Preisobergrenze für moderne Messeinrichtungen der Bundesnetzagentur.</t>
        </r>
      </text>
    </comment>
    <comment ref="A27" authorId="2" shapeId="0" xr:uid="{DD85126A-D4A6-45D5-BF11-82404C137060}">
      <text>
        <r>
          <rPr>
            <b/>
            <sz val="9"/>
            <color indexed="81"/>
            <rFont val="Tahoma"/>
            <family val="2"/>
          </rPr>
          <t>Ulrich Boeke:</t>
        </r>
        <r>
          <rPr>
            <sz val="9"/>
            <color indexed="81"/>
            <rFont val="Tahoma"/>
            <family val="2"/>
          </rPr>
          <t xml:space="preserve">
Diese Rückstellungen bilden eine finanzielle Reserve um nach 10 Jahren einen defelten Solarwechselrichter austauschen zu lassen und um nach 20 Jahren die Solarstromanlagen demontieren und entsorgen zu lassen.
Die Rückstellungen werden auf das Verrechnungskonto eingezahlt.</t>
        </r>
      </text>
    </comment>
    <comment ref="A28" authorId="1" shapeId="0" xr:uid="{475F1B6C-B3C7-4CB4-B59D-3229EA2B4DCB}">
      <text>
        <r>
          <rPr>
            <b/>
            <sz val="9"/>
            <color indexed="81"/>
            <rFont val="Tahoma"/>
            <family val="2"/>
          </rPr>
          <t>Ulrich Boeke:</t>
        </r>
        <r>
          <rPr>
            <sz val="9"/>
            <color indexed="81"/>
            <rFont val="Tahoma"/>
            <family val="2"/>
          </rPr>
          <t xml:space="preserve">
19 % Umsatzsteuer auf den Eigenverbrauch werden
- nicht fällig, wenn Sie die Solarstromanlage entsprechend der Kleinunternehmerregelung privat betreiben
- fällig, wenn Sie die Solarstromanlagen als Firma betreiben und Solarstrom von dieser Firma an sich für den privaten Eigenverbrauch verkaufen.</t>
        </r>
      </text>
    </comment>
    <comment ref="AK38" authorId="1" shapeId="0" xr:uid="{3CC10C98-DA7B-42E9-8E41-8BD5E443C8E8}">
      <text>
        <r>
          <rPr>
            <b/>
            <sz val="9"/>
            <color indexed="81"/>
            <rFont val="Tahoma"/>
            <family val="2"/>
          </rPr>
          <t>Ulrich Boeke:</t>
        </r>
        <r>
          <rPr>
            <sz val="9"/>
            <color indexed="81"/>
            <rFont val="Tahoma"/>
            <family val="2"/>
          </rPr>
          <t xml:space="preserve">
Preis = Kosten + Profit</t>
        </r>
      </text>
    </comment>
    <comment ref="R39" authorId="1" shapeId="0" xr:uid="{CD43D2AB-5849-47EA-9619-49E7048CB8E9}">
      <text>
        <r>
          <rPr>
            <b/>
            <sz val="9"/>
            <color indexed="81"/>
            <rFont val="Tahoma"/>
            <family val="2"/>
          </rPr>
          <t>Ulrich Boeke:</t>
        </r>
        <r>
          <rPr>
            <sz val="9"/>
            <color indexed="81"/>
            <rFont val="Tahoma"/>
            <family val="2"/>
          </rPr>
          <t xml:space="preserve">
20% des Kaufpreises werden als Kosten für den Austausch des Solarwechselrichter nach 15 Jahren Betriebszeit berücksichtigt</t>
        </r>
      </text>
    </comment>
    <comment ref="A41" authorId="1" shapeId="0" xr:uid="{32F94A07-066A-4F85-BE6E-D4F5E496160A}">
      <text>
        <r>
          <rPr>
            <b/>
            <sz val="9"/>
            <color indexed="81"/>
            <rFont val="Tahoma"/>
            <family val="2"/>
          </rPr>
          <t>Ulrich Boeke:</t>
        </r>
        <r>
          <rPr>
            <sz val="9"/>
            <color indexed="81"/>
            <rFont val="Tahoma"/>
            <family val="2"/>
          </rPr>
          <t xml:space="preserve">
Diese Zeile ist eine Zwischenrechnung zur Brechnung der mittleren Entnahmerate im Feld B40</t>
        </r>
      </text>
    </comment>
    <comment ref="C87" authorId="0" shapeId="0" xr:uid="{C07A677B-951E-424E-B74A-F7F97DD99497}">
      <text>
        <r>
          <rPr>
            <b/>
            <sz val="9"/>
            <color indexed="81"/>
            <rFont val="Tahoma"/>
            <family val="2"/>
          </rPr>
          <t>Ulrich Boeke:</t>
        </r>
        <r>
          <rPr>
            <sz val="9"/>
            <color indexed="81"/>
            <rFont val="Tahoma"/>
            <family val="2"/>
          </rPr>
          <t xml:space="preserve">
Consideration: 
70% of an average annual energy generation year in the year of installation. This corresponds to a first grid connection in May.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Ulrich Boeke</author>
  </authors>
  <commentList>
    <comment ref="Q6" authorId="0" shapeId="0" xr:uid="{419CDDA8-4D4C-4225-BB63-6B462BC40464}">
      <text>
        <r>
          <rPr>
            <b/>
            <sz val="9"/>
            <color indexed="81"/>
            <rFont val="Tahoma"/>
            <charset val="1"/>
          </rPr>
          <t>Ulrich Boeke:</t>
        </r>
        <r>
          <rPr>
            <sz val="9"/>
            <color indexed="81"/>
            <rFont val="Tahoma"/>
            <charset val="1"/>
          </rPr>
          <t xml:space="preserve">
Achtung, die Strompreise waren 2023 durch verschiedene Effekte sehr gestört. Wir berücksichtigen den Strompreis entsprechend dem Strompreisdeckel für Privatkunden für Bestandskunden.
Neukunden zahlen leider deutlich höhere Preise.</t>
        </r>
      </text>
    </comment>
    <comment ref="R9" authorId="0" shapeId="0" xr:uid="{73F3E305-DB4E-4059-AC0A-E980F877215A}">
      <text>
        <r>
          <rPr>
            <b/>
            <sz val="9"/>
            <color indexed="81"/>
            <rFont val="Tahoma"/>
            <charset val="1"/>
          </rPr>
          <t>Ulrich Boeke:</t>
        </r>
        <r>
          <rPr>
            <sz val="9"/>
            <color indexed="81"/>
            <rFont val="Tahoma"/>
            <charset val="1"/>
          </rPr>
          <t xml:space="preserve">
Nur in Verbidung mit einem überdurchschnitlich hohem monatlichen Grundpreises von 16,89 Euro. 
Daher für die Zeile 13 nicht ausgewählt.</t>
        </r>
      </text>
    </comment>
    <comment ref="R10" authorId="0" shapeId="0" xr:uid="{7B56D520-58F9-49F2-985F-FA11284AB082}">
      <text>
        <r>
          <rPr>
            <b/>
            <sz val="9"/>
            <color indexed="81"/>
            <rFont val="Tahoma"/>
            <charset val="1"/>
          </rPr>
          <t>Ulrich Boeke:</t>
        </r>
        <r>
          <rPr>
            <sz val="9"/>
            <color indexed="81"/>
            <rFont val="Tahoma"/>
            <charset val="1"/>
          </rPr>
          <t xml:space="preserve">
11,90 Euro monatlicher Grundpreis</t>
        </r>
      </text>
    </comment>
    <comment ref="A11" authorId="0" shapeId="0" xr:uid="{A14C757E-C17B-47EA-994E-266782CEB7A6}">
      <text>
        <r>
          <rPr>
            <b/>
            <sz val="9"/>
            <color indexed="81"/>
            <rFont val="Tahoma"/>
            <family val="2"/>
          </rPr>
          <t>Ulrich Boeke:</t>
        </r>
        <r>
          <rPr>
            <sz val="9"/>
            <color indexed="81"/>
            <rFont val="Tahoma"/>
            <family val="2"/>
          </rPr>
          <t xml:space="preserve">
Dieser Strompreis Tarif wird am 2017 angeboten.
Grünstromwerk ist eine Tochter der Naturstrom AG.</t>
        </r>
      </text>
    </comment>
  </commentList>
</comments>
</file>

<file path=xl/sharedStrings.xml><?xml version="1.0" encoding="utf-8"?>
<sst xmlns="http://schemas.openxmlformats.org/spreadsheetml/2006/main" count="225" uniqueCount="154">
  <si>
    <t>Achtung: Die Langerweher Umwelt- und Naturschutz Aktion e.V. kann keine Haftung für die wirtschaftlichen Erfolg von Investitionen in Solarstromanlagen übernehmen.</t>
  </si>
  <si>
    <t>Die Zahlen in dieser Tabellenkalkulations Datei sind daher nur als Beispiel zu verstehen.</t>
  </si>
  <si>
    <t>Details</t>
  </si>
  <si>
    <t>Nennleistung</t>
  </si>
  <si>
    <t>kWp</t>
  </si>
  <si>
    <t>kWh/kWp</t>
  </si>
  <si>
    <t>Degradation der Solarmodule je Jahr</t>
  </si>
  <si>
    <t>%/a</t>
  </si>
  <si>
    <t>0,5 %/Jahr bei monokristallienen Solarzellen; 1,0 % bei polykristallinen Solarzellen</t>
  </si>
  <si>
    <t>EEG Einspeisevergütung bis 10 kWp</t>
  </si>
  <si>
    <t>€/kWh</t>
  </si>
  <si>
    <t>Jährlicher Anstig des Strompreises</t>
  </si>
  <si>
    <t>Eigenverbrauchsanteil</t>
  </si>
  <si>
    <t>€/kWp</t>
  </si>
  <si>
    <t>€</t>
  </si>
  <si>
    <t>Eigenkapital</t>
  </si>
  <si>
    <t>%</t>
  </si>
  <si>
    <t>Ein Wert kleiner als 100% definiert eine Teilfinanzierung mit einem Bankdarlehen in Zeile 21.</t>
  </si>
  <si>
    <t>Fremdfinanzierung</t>
  </si>
  <si>
    <t>Kredit</t>
  </si>
  <si>
    <t>Auszahlung</t>
  </si>
  <si>
    <t>Zinssatz</t>
  </si>
  <si>
    <t>Tilgungsfreie Zeit</t>
  </si>
  <si>
    <t>Jahre</t>
  </si>
  <si>
    <t>Annuität für das Darlehen</t>
  </si>
  <si>
    <t>Zinsbindung</t>
  </si>
  <si>
    <t>Kosten für Zähler und Messstellenbetrieb pro Jahr</t>
  </si>
  <si>
    <t>Kosten für Versicherung pro Jahr</t>
  </si>
  <si>
    <t>des Kaufpreises in Feld C16</t>
  </si>
  <si>
    <t>Rückstellungen für den Abbau der kompletten Solarstromanlage nach 31 Jahren</t>
  </si>
  <si>
    <t>Dauer des Geschäftsmodells</t>
  </si>
  <si>
    <t>Jahre plus das Jahr der Installation</t>
  </si>
  <si>
    <t xml:space="preserve">Spezifischer Stromertrag </t>
  </si>
  <si>
    <t xml:space="preserve">Betrieb der Solarstromanlage privat oder als als Firma z.B. GBR </t>
  </si>
  <si>
    <t>Alle Daten und Diagramme in den Zeilen 7 - 89 werden automatisch berechnet.</t>
  </si>
  <si>
    <t>In den Zeilen 90 - 96 können gemessene Daten aus dem Anlagenbetrieb eingegeben werden, um sie mit den berechneten Werten zu vergleichen. Unterschiede ergeben sich zum Beispiel durch die Schwankungen des Wetters.</t>
  </si>
  <si>
    <t>Jahr</t>
  </si>
  <si>
    <t>SUMME</t>
  </si>
  <si>
    <t>Jährliche Stromerzeugung</t>
  </si>
  <si>
    <t>kWh/Year</t>
  </si>
  <si>
    <t>Davon Eigenverbrauch</t>
  </si>
  <si>
    <t>Davon Netzeinspeisung</t>
  </si>
  <si>
    <t>spezifische Stromerzeugung</t>
  </si>
  <si>
    <t>Strompreis für Privatkunden</t>
  </si>
  <si>
    <t>EEG Einspeisevergütung</t>
  </si>
  <si>
    <t>Einnahmen</t>
  </si>
  <si>
    <t>aus selbstverbrauchtem Solarstrom</t>
  </si>
  <si>
    <t>aus Stromverkauf in das öffentliche Netz</t>
  </si>
  <si>
    <t>Gesamteinnahmen</t>
  </si>
  <si>
    <t>Ausgaben</t>
  </si>
  <si>
    <t>Kreditzinsen</t>
  </si>
  <si>
    <t>Tilgung</t>
  </si>
  <si>
    <t>Zähler und Messstellenbetrieb</t>
  </si>
  <si>
    <t>Versicherung</t>
  </si>
  <si>
    <t>Rückstellungen für Reparaturen &amp; Abbau</t>
  </si>
  <si>
    <t>Umsatzsteuer auf Eigenverbrauch</t>
  </si>
  <si>
    <t>Gesamtausgaben</t>
  </si>
  <si>
    <t>Kredit Restschuld</t>
  </si>
  <si>
    <t>Ergebnis</t>
  </si>
  <si>
    <t>Verrechnungskonto</t>
  </si>
  <si>
    <t>Einzahlungen aus dem Betrieb</t>
  </si>
  <si>
    <t>Überschuss</t>
  </si>
  <si>
    <t>Solarstrom Preis</t>
  </si>
  <si>
    <t>Entnahmen für Auszahlungen</t>
  </si>
  <si>
    <t>Kontostand am Jahresende mit Auszahlungen</t>
  </si>
  <si>
    <t>Mittlere Entnahmerate</t>
  </si>
  <si>
    <t>Entnahmerate</t>
  </si>
  <si>
    <t>Gesamtentnahme</t>
  </si>
  <si>
    <t>Investitionsverlauf</t>
  </si>
  <si>
    <t>Euro</t>
  </si>
  <si>
    <t>Vergleich des Geschäftsmodels mit Betriebsdaten</t>
  </si>
  <si>
    <t>SUM</t>
  </si>
  <si>
    <t>Berechnete Stromerzeugung</t>
  </si>
  <si>
    <t>kWh/Jear</t>
  </si>
  <si>
    <t>Gemessene Stromerzeugung</t>
  </si>
  <si>
    <t>Berechnete Entnahmen</t>
  </si>
  <si>
    <t>Realisierte Entnahmen</t>
  </si>
  <si>
    <t>Vergleich der spezifischen Solarstromproduction in kWh/kWp</t>
  </si>
  <si>
    <t>Vergleich der Entnahmen in Euro</t>
  </si>
  <si>
    <t xml:space="preserve">Rückzahlung der Umsatzsteuer auf den Kaufpreis nur bei bei Regelbesteuerung (Option 4) </t>
  </si>
  <si>
    <t xml:space="preserve">Entnahmen von Rückstellungen für einen neuen Wechselrichter </t>
  </si>
  <si>
    <t xml:space="preserve">Entnahme für den Abbau der PV Anlage </t>
  </si>
  <si>
    <t xml:space="preserve">Kontostand am Jahresende ohne Auszahlungen </t>
  </si>
  <si>
    <t>In Abhängigkeit von: Investitionssumme, Tilgungszeit und Zinssatz kann die jährliche Annuität berechnet werden. Die Annuität ist eine konstante jährlich Zahlung an den Kreditgeber, die sich aus jährlicher Tilgung und absoluten jährlichen Zins zusammensetzt.</t>
  </si>
  <si>
    <t>Der absolut zu zahlende Zins sinkt von Jahr zu Jahr, weil jedes Jahr ein Teil der Investitiossumme getilgt also zurückbezahl wird. Als Folge kann jedes Jahr etwas mehr getilgt werden.</t>
  </si>
  <si>
    <t xml:space="preserve">Quelle für die Berechnung im Feld B18:  http://de.wikipedia.org/wiki/Annuit%C3%A4tendarlehen  </t>
  </si>
  <si>
    <t>Vorgehensweise:</t>
    <phoneticPr fontId="0" type="noConversion"/>
  </si>
  <si>
    <t>Im Feld C13 wird automatisch der Kaufpreis der PV Anlage eingetragen.</t>
  </si>
  <si>
    <t>Die Laufzeit des Geschäftsmodells wird in Feld B15 eingetragen ohne das Jahr der Installation.</t>
  </si>
  <si>
    <t xml:space="preserve">Der Zinssatz im Feld B16 wird von Hand so eingestellt, dass die berechnete Annuität im Feld B18 dem Wert in Feld B44 auf dem Blatt "Modeldaten" entspricht. </t>
  </si>
  <si>
    <t>Der Zinsatz im Feld B16 entspricht der effektiven Verzinsung der Investion in die PV Anlagen.</t>
  </si>
  <si>
    <t>Hinweis:</t>
  </si>
  <si>
    <t>Diese Berechnungsart setzt eine konstante jährlich Annuität der PV Anlage vorraus. Die Verzinsung des eingesetzten Kapitals in eine PV Anlagen ist aufwändiger, wenn die Anlagen mit Eigenkapital und einem Bankdarlehen finanziert wird. Dies resultiert in variable Annuitäten über die Laufzeit für den Investor.</t>
  </si>
  <si>
    <t>Kreditsumme</t>
  </si>
  <si>
    <t>Laufzeit</t>
  </si>
  <si>
    <t>Das Jahr der Installation wird nicht berücksichtigt, weil in diesem Jahr keine Ausschüttungen erfolgen.</t>
  </si>
  <si>
    <r>
      <t xml:space="preserve">Dieser Wert </t>
    </r>
    <r>
      <rPr>
        <b/>
        <sz val="10"/>
        <rFont val="Arial"/>
        <family val="2"/>
      </rPr>
      <t>muss von Hand so justiert werden</t>
    </r>
    <r>
      <rPr>
        <sz val="10"/>
        <rFont val="Arial"/>
        <family val="2"/>
      </rPr>
      <t>, dass die jährliche Annuität im Feld B19 der mittleren Entnahme des Feldes B44 im Blatt "Geschäftsmodell" entspricht.</t>
    </r>
  </si>
  <si>
    <t>Jährliche Annuität</t>
  </si>
  <si>
    <t>Summe aller Annuitäten</t>
  </si>
  <si>
    <t>Die hier berechnete Summe aller Auszahlungen muss im Blatt "Geschäftsmodel" mit dem Feld AH38 übereinstimmen.</t>
  </si>
  <si>
    <t>Annuitätenrechner</t>
  </si>
  <si>
    <t>Strompreisentwicklung von Ökostrom für Privatkunden der klassischen Ökostromanbieter in Langerwehe in Cent/kWh</t>
  </si>
  <si>
    <t>Diese Übersicht soll die Entwicklung des Wertes für den Solarstrom Eigenverbrauch für private Stromverbraucher geben, sowie eine Information für den mittleren relative Strompreisanstieg in der Vergangenheit.</t>
  </si>
  <si>
    <t>Diese Daten werden im Blatt "Modelldaten" in den Zeilen 11 und 12 benötigt.</t>
  </si>
  <si>
    <t>Der monatliche Grundpreis für die Stromversorgung wird dabei nicht berücksichtigt.</t>
  </si>
  <si>
    <t>Elektrizitätswerke Schönau</t>
  </si>
  <si>
    <t>Lichtblick</t>
  </si>
  <si>
    <t>40.87</t>
  </si>
  <si>
    <t>Naturstrom AG</t>
  </si>
  <si>
    <t>39.90</t>
  </si>
  <si>
    <t>Naturstrom AG Regionalstrom Düren</t>
  </si>
  <si>
    <t>Günstigster Preis in Cent/kWh</t>
  </si>
  <si>
    <t>jählicher Preisanstieg für den günstigsten Preis</t>
  </si>
  <si>
    <t>mittlerer Preisanstieg pro Jahr seit 2008</t>
  </si>
  <si>
    <t>Diagramm:</t>
  </si>
  <si>
    <t xml:space="preserve"> Blaue Säulen zeigen den jährlichen Preisanstieg für den günstigsten Preis </t>
  </si>
  <si>
    <t xml:space="preserve"> Rote Säulen zeigen den mittleren Preisanstieg für den günstigsten Preis pro Jahr seit 2008</t>
  </si>
  <si>
    <t>Informationen zu den Änderungen zwischen den verschiedenen Exceltabellen Versionen</t>
  </si>
  <si>
    <t>Version</t>
  </si>
  <si>
    <t>Kommentare</t>
  </si>
  <si>
    <t>Basisversion für den Vergleich</t>
  </si>
  <si>
    <t>Die Einspeisevergütung im Feld "Modelldaten C10" ist reduziert worden. Der Referenzstrompreis im Feld "Modelldaten C11" ist für 2019 um 1 ct/kWh angehoben worden.</t>
  </si>
  <si>
    <t>Die Einspeisevergütung im Feld "Modelldaten C10" ist reduziert worden. Der Referenzstrompreis im Feld "Modelldaten C11" ist für 2020 um 1 ct/kWh angehoben worden.</t>
  </si>
  <si>
    <t>Die Einspeisevergütung im Feld "Modelldaten C10" ist reduziert worden. Der Referenzstrompreis im Feld "Modelldaten C11" ist für 2020 um 0,5 ct/kWh angehoben worden.</t>
  </si>
  <si>
    <r>
      <t xml:space="preserve">Die Einspeisevergütung im Feld "Modelldaten C10" ist reduziert worden. Der Anlagenpreis "Modelldaten C15" ist für 2021 um 50 </t>
    </r>
    <r>
      <rPr>
        <sz val="10"/>
        <rFont val="Calibri"/>
        <family val="2"/>
      </rPr>
      <t>€</t>
    </r>
    <r>
      <rPr>
        <sz val="10"/>
        <rFont val="Arial"/>
        <family val="2"/>
      </rPr>
      <t>/kWp gesenkt worden.</t>
    </r>
  </si>
  <si>
    <t>Die Einspeisevergütung im Feld "Modelldaten C10" ist reduziert worden. Der Anlagenpreis "Modelldaten C15" ist 2022 gestiegen.</t>
  </si>
  <si>
    <t>Danksagung</t>
  </si>
  <si>
    <t>Ulrich Böke</t>
  </si>
  <si>
    <t xml:space="preserve">Die Berechnung des erwarteten Geschäftsmodells im Blatt "Geschäftsmodell" erfolgt nun automatisch. Die mittlere Entnahmerate im Feld B42 mus nicht mehr von Hand justiert werden. Nur die tatsächlich gemessenen Werte für die jährliche Solarstromerzeugung sowie die jährliche Entnahme von Geld aus dem tatsächlichen Geschäft kann von Hand eingegeben werden, wenn ein Vergleich mit dem berechneten Geschäftsmodell gewünscht ist. Das Blatt "Strompreisentwicklung" ist zugefügt worden. </t>
  </si>
  <si>
    <t>Bei der Überarbeitung dieser Excel Datei zur Brechnung des Geschäftsmodells von Solarstromanlagen in 2018 bedanke ich mich für Anregungen von Frau Susanne Jung von Solarenergie Förderverein Deutschland e.V.  und bei Lothar Kurth vom BUND Inden/Langerwehe.</t>
  </si>
  <si>
    <t>Umwandlung des alten ".xls" Datei Formats in das ".xlsx" Datei Format</t>
  </si>
  <si>
    <t>Eingabemöglichkeiten:                                                                                                                                                       "0" Sie betreiben die Solarstromanlage privat und nicht als Firma, steuerlich als Kleinunternehmer                                            "1" Sie betreiben die Solarstromanlage als Firma, steuerrechtlich mit Regelbesteuerung</t>
  </si>
  <si>
    <t xml:space="preserve">950 kWh/(kWp*Jahr) bei einer verschattungsfrei nach Süden ausgerichteten Anlage,                                                                 860 kWh/(kWp*Jahr) bei einer aufgeteilten und verschattungsfrei nach Ost und West ausgerichteten Anlage </t>
  </si>
  <si>
    <t>Fehlerhafte Links in Graphiken korrigiert</t>
  </si>
  <si>
    <t>siehe Blatt 4 "Strompreisentwicklung"</t>
  </si>
  <si>
    <t>mindestens aber 80 €</t>
  </si>
  <si>
    <t>Wirtschaftlichkeitsberechnung für eine 6,9 kW Photovoltaikanlage (25 % Eigenverbrauch, 31 Jahre Betrieb, Netzanschluss März 2023)</t>
  </si>
  <si>
    <t>Viele Preiskomponenten sind für 2023 angehoben worden. Die Strompreisentwicklung ist 2023 außergewöhnlich.</t>
  </si>
  <si>
    <r>
      <t xml:space="preserve">Spezifischer Kaufpreis </t>
    </r>
    <r>
      <rPr>
        <b/>
        <sz val="10"/>
        <color indexed="8"/>
        <rFont val="Arial"/>
        <family val="2"/>
      </rPr>
      <t>mit 0 % Umsatzsteuer</t>
    </r>
  </si>
  <si>
    <r>
      <t xml:space="preserve">Gesamtkaufpreis </t>
    </r>
    <r>
      <rPr>
        <b/>
        <sz val="10"/>
        <color indexed="8"/>
        <rFont val="Arial"/>
        <family val="2"/>
      </rPr>
      <t>mit 0 % Umsatzsteuer</t>
    </r>
  </si>
  <si>
    <t>Rückstellungen für den Tausch des Wechselrichters nach 15 Jahren</t>
  </si>
  <si>
    <t>Dies ist der Preis für eine elektronische "Moderne Messeinrichtung". Eine elektronische "Intelligente Messeinrichtung" ist teurer.</t>
  </si>
  <si>
    <t>Solarstrom Kosten</t>
  </si>
  <si>
    <t xml:space="preserve">Alle Zahlen in blauer Farbe müssen an das eigene Projekt angepasst werden. </t>
  </si>
  <si>
    <t>Alle Zahlen in schwarzer Farbe stehen fest oder werden berechnet.</t>
  </si>
  <si>
    <t xml:space="preserve">Quelle: http://de.wikipedia.org/wiki/Annuit%C3%A4tendarlehen  </t>
  </si>
  <si>
    <t>Green Planet Energy (früher Greenpeace Energy)</t>
  </si>
  <si>
    <t>Bei einer Inbetriebnahme im Februar - Juli 2024. Die Bundesnetzagentur und der Solarenergie Förderverein informieren hierüber. https://www.sfv.de/eeg-verguetungen</t>
  </si>
  <si>
    <t>Bei Eigenverbrauch vermiedener Strompreis in 2024</t>
  </si>
  <si>
    <t>Modelldaten und Strompreisentwicklung für 2024 angepasst</t>
  </si>
  <si>
    <t>Naturstrom AG im Januar 2024 (siehe Blatt 4 "Strompreisentwicklung")</t>
  </si>
  <si>
    <t>Der Käufer bezahlt die Solarstromanlage beim Installateur mit Umsatzsteuer. Die Umsatzsteuer für den Kauf von Solarstromanlagen liegt in 2024 bei 0 %.</t>
  </si>
  <si>
    <t>Wirtschaftlichkeitsberechnung für eine 6,7 kW Photovoltaikanlage (25 % Eigenverbrauch, 31 Jahre Betrieb, Netzanschluss März 2024)</t>
  </si>
  <si>
    <t>16 Photovoltaik Module a 420 Wp (Glas-Glas Module mit monokristallinen Solarzellen), 32 m2 Fläche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</si>
</sst>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1">
    <font>
      <sz val="11"/>
      <color theme="1"/>
      <name val="Calibri"/>
      <family val="2"/>
      <scheme val="minor"/>
    </font>
    <font>
      <b/>
      <sz val="10"/>
      <name val="Arial"/>
      <family val="2"/>
    </font>
    <font>
      <sz val="10"/>
      <name val="Arial"/>
      <family val="2"/>
    </font>
    <font>
      <b/>
      <sz val="10"/>
      <color indexed="8"/>
      <name val="Arial"/>
      <family val="2"/>
    </font>
    <font>
      <sz val="10"/>
      <color indexed="8"/>
      <name val="Arial"/>
      <family val="2"/>
    </font>
    <font>
      <b/>
      <sz val="15"/>
      <color indexed="8"/>
      <name val="Arial"/>
      <family val="2"/>
    </font>
    <font>
      <sz val="9"/>
      <color indexed="81"/>
      <name val="Tahoma"/>
      <family val="2"/>
    </font>
    <font>
      <b/>
      <sz val="9"/>
      <color indexed="81"/>
      <name val="Tahoma"/>
      <family val="2"/>
    </font>
    <font>
      <i/>
      <sz val="10"/>
      <color indexed="8"/>
      <name val="Arial"/>
      <family val="2"/>
    </font>
    <font>
      <b/>
      <sz val="12"/>
      <color indexed="8"/>
      <name val="Albany"/>
      <family val="2"/>
    </font>
    <font>
      <b/>
      <sz val="12"/>
      <color indexed="8"/>
      <name val="Arial"/>
      <family val="2"/>
    </font>
    <font>
      <b/>
      <sz val="10"/>
      <color rgb="FFFF0000"/>
      <name val="Arial"/>
      <family val="2"/>
    </font>
    <font>
      <u/>
      <sz val="11"/>
      <color theme="10"/>
      <name val="Calibri"/>
      <family val="2"/>
      <scheme val="minor"/>
    </font>
    <font>
      <b/>
      <sz val="10"/>
      <color rgb="FF0070C0"/>
      <name val="Arial"/>
      <family val="2"/>
    </font>
    <font>
      <b/>
      <sz val="10"/>
      <color rgb="FFC00000"/>
      <name val="Arial"/>
      <family val="2"/>
    </font>
    <font>
      <sz val="10"/>
      <name val="Calibri"/>
      <family val="2"/>
    </font>
    <font>
      <b/>
      <sz val="11"/>
      <color theme="1"/>
      <name val="Calibri"/>
      <family val="2"/>
      <scheme val="minor"/>
    </font>
    <font>
      <sz val="12"/>
      <color indexed="8"/>
      <name val="Arial"/>
      <family val="2"/>
    </font>
    <font>
      <sz val="10"/>
      <color rgb="FF0070C0"/>
      <name val="Arial"/>
      <family val="2"/>
    </font>
    <font>
      <b/>
      <sz val="9"/>
      <color indexed="81"/>
      <name val="Tahoma"/>
      <charset val="1"/>
    </font>
    <font>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center"/>
    </xf>
    <xf numFmtId="0" fontId="4" fillId="0" borderId="0" xfId="0" applyFont="1"/>
    <xf numFmtId="2" fontId="4"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wrapText="1"/>
    </xf>
    <xf numFmtId="10" fontId="4" fillId="0" borderId="0" xfId="0" applyNumberFormat="1" applyFont="1" applyAlignment="1">
      <alignment horizontal="center"/>
    </xf>
    <xf numFmtId="164" fontId="4" fillId="0" borderId="0" xfId="0" applyNumberFormat="1" applyFont="1" applyAlignment="1">
      <alignment horizontal="center"/>
    </xf>
    <xf numFmtId="9" fontId="4" fillId="0" borderId="0" xfId="0" applyNumberFormat="1" applyFont="1" applyAlignment="1">
      <alignment horizontal="center"/>
    </xf>
    <xf numFmtId="1" fontId="4" fillId="0" borderId="0" xfId="0" applyNumberFormat="1" applyFont="1" applyAlignment="1">
      <alignment horizontal="center"/>
    </xf>
    <xf numFmtId="1"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xf>
    <xf numFmtId="2" fontId="4" fillId="0" borderId="0" xfId="0" applyNumberFormat="1" applyFont="1" applyAlignment="1">
      <alignment horizontal="right"/>
    </xf>
    <xf numFmtId="0" fontId="2" fillId="0" borderId="0" xfId="0" applyFont="1" applyAlignment="1">
      <alignment horizontal="left" readingOrder="1"/>
    </xf>
    <xf numFmtId="0" fontId="5" fillId="0" borderId="0" xfId="0" applyFont="1" applyAlignment="1">
      <alignment horizontal="left"/>
    </xf>
    <xf numFmtId="0" fontId="8" fillId="0" borderId="0" xfId="0" applyFont="1"/>
    <xf numFmtId="0" fontId="9" fillId="0" borderId="0" xfId="0" applyFont="1" applyAlignment="1">
      <alignment horizontal="center"/>
    </xf>
    <xf numFmtId="0" fontId="4" fillId="0" borderId="1" xfId="0" applyFont="1" applyBorder="1"/>
    <xf numFmtId="0" fontId="4" fillId="0" borderId="1"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1" fontId="4" fillId="0" borderId="1" xfId="0" applyNumberFormat="1" applyFont="1" applyBorder="1" applyAlignment="1">
      <alignment horizontal="center"/>
    </xf>
    <xf numFmtId="0" fontId="3" fillId="0" borderId="1" xfId="0" applyFont="1" applyBorder="1"/>
    <xf numFmtId="1" fontId="9" fillId="0" borderId="1" xfId="0" applyNumberFormat="1" applyFont="1" applyBorder="1" applyAlignment="1">
      <alignment horizontal="center"/>
    </xf>
    <xf numFmtId="165" fontId="4" fillId="0" borderId="1" xfId="0" applyNumberFormat="1" applyFont="1" applyBorder="1" applyAlignment="1">
      <alignment horizontal="center"/>
    </xf>
    <xf numFmtId="2" fontId="4" fillId="0" borderId="1" xfId="0" applyNumberFormat="1" applyFont="1" applyBorder="1" applyAlignment="1">
      <alignment horizontal="center"/>
    </xf>
    <xf numFmtId="2" fontId="9" fillId="0" borderId="1" xfId="0" applyNumberFormat="1" applyFont="1" applyBorder="1" applyAlignment="1">
      <alignment horizontal="center"/>
    </xf>
    <xf numFmtId="0" fontId="10" fillId="0" borderId="0" xfId="0" applyFont="1" applyAlignment="1">
      <alignment horizontal="center"/>
    </xf>
    <xf numFmtId="0" fontId="4" fillId="0" borderId="1" xfId="0" applyFont="1" applyBorder="1" applyAlignment="1">
      <alignment wrapText="1"/>
    </xf>
    <xf numFmtId="0" fontId="4" fillId="0" borderId="1" xfId="0" applyFont="1" applyBorder="1" applyAlignment="1">
      <alignment horizontal="left"/>
    </xf>
    <xf numFmtId="2" fontId="10" fillId="0" borderId="0" xfId="0" applyNumberFormat="1" applyFont="1" applyAlignment="1">
      <alignment horizontal="center"/>
    </xf>
    <xf numFmtId="166" fontId="4" fillId="0" borderId="0" xfId="0" applyNumberFormat="1" applyFont="1" applyAlignment="1">
      <alignment horizontal="center"/>
    </xf>
    <xf numFmtId="2" fontId="11" fillId="0" borderId="1" xfId="0" applyNumberFormat="1" applyFont="1" applyBorder="1" applyAlignment="1">
      <alignment horizontal="center"/>
    </xf>
    <xf numFmtId="10" fontId="4" fillId="0" borderId="1" xfId="0" applyNumberFormat="1" applyFont="1" applyBorder="1" applyAlignment="1">
      <alignment horizontal="center"/>
    </xf>
    <xf numFmtId="9" fontId="4" fillId="0" borderId="1" xfId="0" applyNumberFormat="1" applyFont="1" applyBorder="1" applyAlignment="1">
      <alignment horizontal="center"/>
    </xf>
    <xf numFmtId="164" fontId="4" fillId="0" borderId="1" xfId="0" applyNumberFormat="1" applyFont="1" applyBorder="1" applyAlignment="1">
      <alignment horizontal="center"/>
    </xf>
    <xf numFmtId="0" fontId="0" fillId="0" borderId="1" xfId="0" applyBorder="1"/>
    <xf numFmtId="2" fontId="4" fillId="0" borderId="1" xfId="0" applyNumberFormat="1" applyFont="1" applyBorder="1"/>
    <xf numFmtId="0" fontId="0" fillId="0" borderId="0" xfId="0" applyAlignment="1">
      <alignment horizontal="center"/>
    </xf>
    <xf numFmtId="166" fontId="4" fillId="0" borderId="1" xfId="0" applyNumberFormat="1" applyFont="1" applyBorder="1"/>
    <xf numFmtId="2" fontId="0" fillId="0" borderId="1" xfId="0" applyNumberFormat="1" applyBorder="1"/>
    <xf numFmtId="0" fontId="12" fillId="0" borderId="0" xfId="1" applyAlignment="1" applyProtection="1"/>
    <xf numFmtId="0" fontId="2" fillId="0" borderId="0" xfId="0" applyFont="1" applyAlignment="1">
      <alignment horizontal="center"/>
    </xf>
    <xf numFmtId="2" fontId="1" fillId="0" borderId="0" xfId="0" applyNumberFormat="1" applyFont="1"/>
    <xf numFmtId="0" fontId="0" fillId="0" borderId="0" xfId="0" applyAlignment="1">
      <alignment horizontal="left"/>
    </xf>
    <xf numFmtId="0" fontId="2" fillId="0" borderId="0" xfId="0" applyFont="1" applyAlignment="1">
      <alignment horizontal="left"/>
    </xf>
    <xf numFmtId="10" fontId="1" fillId="0" borderId="0" xfId="0" applyNumberFormat="1" applyFont="1"/>
    <xf numFmtId="49" fontId="2" fillId="0" borderId="0" xfId="0" applyNumberFormat="1" applyFont="1"/>
    <xf numFmtId="0" fontId="1" fillId="0" borderId="0" xfId="0" applyFont="1" applyAlignment="1">
      <alignment horizontal="center"/>
    </xf>
    <xf numFmtId="0" fontId="13" fillId="0" borderId="0" xfId="0" applyFont="1"/>
    <xf numFmtId="164" fontId="0" fillId="0" borderId="0" xfId="0" applyNumberFormat="1" applyAlignment="1">
      <alignment horizontal="center"/>
    </xf>
    <xf numFmtId="0" fontId="14" fillId="0" borderId="0" xfId="0" applyFont="1"/>
    <xf numFmtId="0" fontId="1" fillId="0" borderId="0" xfId="0" applyFont="1" applyAlignment="1">
      <alignment horizontal="left"/>
    </xf>
    <xf numFmtId="14" fontId="2" fillId="0" borderId="0" xfId="0" applyNumberFormat="1" applyFont="1" applyAlignment="1">
      <alignment horizontal="left"/>
    </xf>
    <xf numFmtId="0" fontId="2" fillId="0" borderId="0" xfId="0" applyFont="1" applyAlignment="1">
      <alignment wrapText="1"/>
    </xf>
    <xf numFmtId="14" fontId="0" fillId="0" borderId="0" xfId="0" applyNumberFormat="1" applyAlignment="1">
      <alignment horizontal="left"/>
    </xf>
    <xf numFmtId="0" fontId="16" fillId="0" borderId="0" xfId="0" applyFont="1" applyAlignment="1">
      <alignment horizontal="center"/>
    </xf>
    <xf numFmtId="0" fontId="17" fillId="0" borderId="0" xfId="0" applyFont="1" applyAlignment="1">
      <alignment horizontal="center"/>
    </xf>
    <xf numFmtId="166" fontId="10" fillId="0" borderId="0" xfId="0" applyNumberFormat="1" applyFont="1" applyAlignment="1">
      <alignment horizontal="center"/>
    </xf>
    <xf numFmtId="0" fontId="18" fillId="0" borderId="0" xfId="0" applyFont="1" applyAlignment="1">
      <alignment horizontal="left"/>
    </xf>
    <xf numFmtId="2" fontId="18" fillId="0" borderId="0" xfId="0" applyNumberFormat="1" applyFont="1" applyAlignment="1">
      <alignment horizontal="center"/>
    </xf>
    <xf numFmtId="0" fontId="18" fillId="0" borderId="0" xfId="0" applyFont="1" applyAlignment="1">
      <alignment horizontal="center" vertical="center"/>
    </xf>
    <xf numFmtId="10" fontId="18" fillId="0" borderId="0" xfId="0" applyNumberFormat="1" applyFont="1" applyAlignment="1">
      <alignment horizontal="center"/>
    </xf>
    <xf numFmtId="165" fontId="18" fillId="0" borderId="0" xfId="0" applyNumberFormat="1" applyFont="1" applyAlignment="1">
      <alignment horizontal="center"/>
    </xf>
    <xf numFmtId="164" fontId="18" fillId="0" borderId="0" xfId="0" applyNumberFormat="1" applyFont="1" applyAlignment="1">
      <alignment horizontal="center"/>
    </xf>
    <xf numFmtId="9" fontId="18" fillId="0" borderId="0" xfId="0" applyNumberFormat="1" applyFont="1" applyAlignment="1">
      <alignment horizontal="center"/>
    </xf>
    <xf numFmtId="0" fontId="18"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10972645273274"/>
          <c:y val="7.8788151481064869E-2"/>
          <c:w val="0.75506312483988325"/>
          <c:h val="0.77373890021089842"/>
        </c:manualLayout>
      </c:layout>
      <c:scatterChart>
        <c:scatterStyle val="lineMarker"/>
        <c:varyColors val="0"/>
        <c:ser>
          <c:idx val="0"/>
          <c:order val="0"/>
          <c:spPr>
            <a:ln w="38100">
              <a:solidFill>
                <a:srgbClr val="000080"/>
              </a:solidFill>
              <a:prstDash val="solid"/>
            </a:ln>
          </c:spPr>
          <c:marker>
            <c:symbol val="none"/>
          </c:marker>
          <c:xVal>
            <c:numRef>
              <c:f>Geschäftsmodell!$C$8:$AG$8</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Geschäftsmodell!$C$49:$W$49</c:f>
              <c:numCache>
                <c:formatCode>0.00</c:formatCode>
                <c:ptCount val="21"/>
                <c:pt idx="0" formatCode="0.000">
                  <c:v>-12768</c:v>
                </c:pt>
                <c:pt idx="1">
                  <c:v>-12045.109318101408</c:v>
                </c:pt>
                <c:pt idx="2">
                  <c:v>-11322.218636202815</c:v>
                </c:pt>
                <c:pt idx="3">
                  <c:v>-10599.327954304223</c:v>
                </c:pt>
                <c:pt idx="4">
                  <c:v>-9876.4372724056302</c:v>
                </c:pt>
                <c:pt idx="5">
                  <c:v>-9153.5465905070378</c:v>
                </c:pt>
                <c:pt idx="6">
                  <c:v>-8430.6559086084453</c:v>
                </c:pt>
                <c:pt idx="7">
                  <c:v>-7707.7652267098538</c:v>
                </c:pt>
                <c:pt idx="8">
                  <c:v>-6984.8745448112622</c:v>
                </c:pt>
                <c:pt idx="9">
                  <c:v>-6261.9838629126707</c:v>
                </c:pt>
                <c:pt idx="10">
                  <c:v>-5539.0931810140792</c:v>
                </c:pt>
                <c:pt idx="11">
                  <c:v>-4816.2024991154876</c:v>
                </c:pt>
                <c:pt idx="12">
                  <c:v>-4093.3118172168961</c:v>
                </c:pt>
                <c:pt idx="13">
                  <c:v>-3370.4211353183046</c:v>
                </c:pt>
                <c:pt idx="14">
                  <c:v>-2647.530453419713</c:v>
                </c:pt>
                <c:pt idx="15">
                  <c:v>-1924.6397715211215</c:v>
                </c:pt>
                <c:pt idx="16">
                  <c:v>-861.26908962252969</c:v>
                </c:pt>
                <c:pt idx="17">
                  <c:v>202.10159227606209</c:v>
                </c:pt>
                <c:pt idx="18">
                  <c:v>1265.4722741746539</c:v>
                </c:pt>
                <c:pt idx="19">
                  <c:v>2328.8429560732457</c:v>
                </c:pt>
                <c:pt idx="20">
                  <c:v>3392.2136379718377</c:v>
                </c:pt>
              </c:numCache>
            </c:numRef>
          </c:yVal>
          <c:smooth val="0"/>
          <c:extLst>
            <c:ext xmlns:c16="http://schemas.microsoft.com/office/drawing/2014/chart" uri="{C3380CC4-5D6E-409C-BE32-E72D297353CC}">
              <c16:uniqueId val="{00000000-845C-4F2B-8A0F-E4D7D8B0255A}"/>
            </c:ext>
          </c:extLst>
        </c:ser>
        <c:ser>
          <c:idx val="1"/>
          <c:order val="1"/>
          <c:tx>
            <c:v>Datenreihe2</c:v>
          </c:tx>
          <c:spPr>
            <a:ln w="38100">
              <a:solidFill>
                <a:srgbClr val="000080"/>
              </a:solidFill>
              <a:prstDash val="sysDot"/>
            </a:ln>
          </c:spPr>
          <c:marker>
            <c:symbol val="none"/>
          </c:marker>
          <c:xVal>
            <c:numRef>
              <c:f>Geschäftsmodell!$W$8:$AG$8</c:f>
              <c:numCache>
                <c:formatCode>0</c:formatCode>
                <c:ptCount val="11"/>
                <c:pt idx="0">
                  <c:v>20</c:v>
                </c:pt>
                <c:pt idx="1">
                  <c:v>21</c:v>
                </c:pt>
                <c:pt idx="2">
                  <c:v>22</c:v>
                </c:pt>
                <c:pt idx="3">
                  <c:v>23</c:v>
                </c:pt>
                <c:pt idx="4">
                  <c:v>24</c:v>
                </c:pt>
                <c:pt idx="5">
                  <c:v>25</c:v>
                </c:pt>
                <c:pt idx="6">
                  <c:v>26</c:v>
                </c:pt>
                <c:pt idx="7">
                  <c:v>27</c:v>
                </c:pt>
                <c:pt idx="8">
                  <c:v>28</c:v>
                </c:pt>
                <c:pt idx="9">
                  <c:v>29</c:v>
                </c:pt>
                <c:pt idx="10">
                  <c:v>30</c:v>
                </c:pt>
              </c:numCache>
            </c:numRef>
          </c:xVal>
          <c:yVal>
            <c:numRef>
              <c:f>Geschäftsmodell!$W$49:$AG$49</c:f>
              <c:numCache>
                <c:formatCode>0.00</c:formatCode>
                <c:ptCount val="11"/>
                <c:pt idx="0">
                  <c:v>3392.2136379718377</c:v>
                </c:pt>
                <c:pt idx="1">
                  <c:v>4455.5843198704297</c:v>
                </c:pt>
                <c:pt idx="2">
                  <c:v>5518.9550017690217</c:v>
                </c:pt>
                <c:pt idx="3">
                  <c:v>6582.3256836676137</c:v>
                </c:pt>
                <c:pt idx="4">
                  <c:v>7645.6963655662057</c:v>
                </c:pt>
                <c:pt idx="5">
                  <c:v>8709.0670474647977</c:v>
                </c:pt>
                <c:pt idx="6">
                  <c:v>9772.4377293633897</c:v>
                </c:pt>
                <c:pt idx="7">
                  <c:v>10835.808411261982</c:v>
                </c:pt>
                <c:pt idx="8">
                  <c:v>11899.179093160574</c:v>
                </c:pt>
                <c:pt idx="9">
                  <c:v>12962.549775059166</c:v>
                </c:pt>
                <c:pt idx="10">
                  <c:v>14025.920456957758</c:v>
                </c:pt>
              </c:numCache>
            </c:numRef>
          </c:yVal>
          <c:smooth val="0"/>
          <c:extLst>
            <c:ext xmlns:c16="http://schemas.microsoft.com/office/drawing/2014/chart" uri="{C3380CC4-5D6E-409C-BE32-E72D297353CC}">
              <c16:uniqueId val="{00000001-845C-4F2B-8A0F-E4D7D8B0255A}"/>
            </c:ext>
          </c:extLst>
        </c:ser>
        <c:dLbls>
          <c:showLegendKey val="0"/>
          <c:showVal val="0"/>
          <c:showCatName val="0"/>
          <c:showSerName val="0"/>
          <c:showPercent val="0"/>
          <c:showBubbleSize val="0"/>
        </c:dLbls>
        <c:axId val="1064845696"/>
        <c:axId val="1"/>
      </c:scatterChart>
      <c:valAx>
        <c:axId val="1064845696"/>
        <c:scaling>
          <c:orientation val="minMax"/>
          <c:max val="3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max val="15000"/>
          <c:min val="-15000"/>
        </c:scaling>
        <c:delete val="0"/>
        <c:axPos val="l"/>
        <c:majorGridlines>
          <c:spPr>
            <a:ln w="3175">
              <a:solidFill>
                <a:srgbClr val="000000"/>
              </a:solidFill>
              <a:prstDash val="solid"/>
            </a:ln>
          </c:spPr>
        </c:majorGridlines>
        <c:numFmt formatCode="0" sourceLinked="0"/>
        <c:majorTickMark val="out"/>
        <c:minorTickMark val="in"/>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64845696"/>
        <c:crosses val="autoZero"/>
        <c:crossBetween val="midCat"/>
        <c:majorUnit val="5000"/>
        <c:minorUnit val="50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2745351261069"/>
          <c:y val="7.8788034225130657E-2"/>
          <c:w val="0.80848580549929627"/>
          <c:h val="0.77373890021089842"/>
        </c:manualLayout>
      </c:layout>
      <c:scatterChart>
        <c:scatterStyle val="lineMarker"/>
        <c:varyColors val="0"/>
        <c:ser>
          <c:idx val="0"/>
          <c:order val="0"/>
          <c:spPr>
            <a:ln w="38100">
              <a:solidFill>
                <a:srgbClr val="000080"/>
              </a:solidFill>
              <a:prstDash val="solid"/>
            </a:ln>
          </c:spPr>
          <c:marker>
            <c:symbol val="none"/>
          </c:marker>
          <c:xVal>
            <c:numRef>
              <c:f>Geschäftsmodell!$C$8:$AG$8</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Geschäftsmodell!$C$42:$AG$42</c:f>
              <c:numCache>
                <c:formatCode>0.00</c:formatCode>
                <c:ptCount val="31"/>
                <c:pt idx="0">
                  <c:v>562.05272000000002</c:v>
                </c:pt>
                <c:pt idx="1">
                  <c:v>701.66175810140828</c:v>
                </c:pt>
                <c:pt idx="2">
                  <c:v>853.58366408481641</c:v>
                </c:pt>
                <c:pt idx="3">
                  <c:v>1018.1575029951447</c:v>
                </c:pt>
                <c:pt idx="4">
                  <c:v>1195.7298526637146</c:v>
                </c:pt>
                <c:pt idx="5">
                  <c:v>1386.6549493168923</c:v>
                </c:pt>
                <c:pt idx="6">
                  <c:v>1591.2948351597438</c:v>
                </c:pt>
                <c:pt idx="7">
                  <c:v>1810.019507922153</c:v>
                </c:pt>
                <c:pt idx="8">
                  <c:v>2043.2070723523261</c:v>
                </c:pt>
                <c:pt idx="9">
                  <c:v>2291.243893639934</c:v>
                </c:pt>
                <c:pt idx="10">
                  <c:v>2554.5247527483266</c:v>
                </c:pt>
                <c:pt idx="11">
                  <c:v>2833.453003632284</c:v>
                </c:pt>
                <c:pt idx="12">
                  <c:v>3128.4407323146334</c:v>
                </c:pt>
                <c:pt idx="13">
                  <c:v>3439.908917791774</c:v>
                </c:pt>
                <c:pt idx="14">
                  <c:v>3768.2875947346711</c:v>
                </c:pt>
                <c:pt idx="15">
                  <c:v>1560.4160179482305</c:v>
                </c:pt>
                <c:pt idx="16">
                  <c:v>1583.462828548136</c:v>
                </c:pt>
                <c:pt idx="17">
                  <c:v>1624.7662218101671</c:v>
                </c:pt>
                <c:pt idx="18">
                  <c:v>1684.794116642802</c:v>
                </c:pt>
                <c:pt idx="19">
                  <c:v>1764.0243266294331</c:v>
                </c:pt>
                <c:pt idx="20">
                  <c:v>1862.9447325818421</c:v>
                </c:pt>
                <c:pt idx="21">
                  <c:v>1632.1464165416785</c:v>
                </c:pt>
                <c:pt idx="22">
                  <c:v>1423.9888851615226</c:v>
                </c:pt>
                <c:pt idx="23">
                  <c:v>1238.9912703917018</c:v>
                </c:pt>
                <c:pt idx="24">
                  <c:v>1077.6834753933697</c:v>
                </c:pt>
                <c:pt idx="25">
                  <c:v>940.60635359239973</c:v>
                </c:pt>
                <c:pt idx="26">
                  <c:v>828.31188878242369</c:v>
                </c:pt>
                <c:pt idx="27">
                  <c:v>741.36337617881281</c:v>
                </c:pt>
                <c:pt idx="28">
                  <c:v>680.33560431856972</c:v>
                </c:pt>
                <c:pt idx="29">
                  <c:v>645.81503769393066</c:v>
                </c:pt>
                <c:pt idx="30">
                  <c:v>-2.5011104298755527E-12</c:v>
                </c:pt>
              </c:numCache>
            </c:numRef>
          </c:yVal>
          <c:smooth val="0"/>
          <c:extLst>
            <c:ext xmlns:c16="http://schemas.microsoft.com/office/drawing/2014/chart" uri="{C3380CC4-5D6E-409C-BE32-E72D297353CC}">
              <c16:uniqueId val="{00000000-F552-48CA-A2EC-21BD01A108B3}"/>
            </c:ext>
          </c:extLst>
        </c:ser>
        <c:dLbls>
          <c:showLegendKey val="0"/>
          <c:showVal val="0"/>
          <c:showCatName val="0"/>
          <c:showSerName val="0"/>
          <c:showPercent val="0"/>
          <c:showBubbleSize val="0"/>
        </c:dLbls>
        <c:axId val="1064849304"/>
        <c:axId val="1"/>
      </c:scatterChart>
      <c:valAx>
        <c:axId val="1064849304"/>
        <c:scaling>
          <c:orientation val="minMax"/>
          <c:max val="32"/>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648493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1874589668562"/>
          <c:y val="0.10900774422427965"/>
          <c:w val="0.80848580549929627"/>
          <c:h val="0.77373890021089842"/>
        </c:manualLayout>
      </c:layout>
      <c:scatterChart>
        <c:scatterStyle val="lineMarker"/>
        <c:varyColors val="0"/>
        <c:ser>
          <c:idx val="0"/>
          <c:order val="0"/>
          <c:tx>
            <c:strRef>
              <c:f>Geschäftsmodell!$A$95</c:f>
              <c:strCache>
                <c:ptCount val="1"/>
                <c:pt idx="0">
                  <c:v>spezifische Stromerzeugung</c:v>
                </c:pt>
              </c:strCache>
            </c:strRef>
          </c:tx>
          <c:spPr>
            <a:ln w="38100">
              <a:solidFill>
                <a:srgbClr val="000080"/>
              </a:solidFill>
              <a:prstDash val="solid"/>
            </a:ln>
          </c:spPr>
          <c:marker>
            <c:symbol val="none"/>
          </c:marker>
          <c:xVal>
            <c:numRef>
              <c:f>Geschäftsmodell!$C$87:$AG$87</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Geschäftsmodell!$C$91:$AG$91</c:f>
              <c:numCache>
                <c:formatCode>0</c:formatCode>
                <c:ptCount val="31"/>
                <c:pt idx="0">
                  <c:v>665</c:v>
                </c:pt>
                <c:pt idx="1">
                  <c:v>950</c:v>
                </c:pt>
                <c:pt idx="2">
                  <c:v>945.25</c:v>
                </c:pt>
                <c:pt idx="3">
                  <c:v>940.5</c:v>
                </c:pt>
                <c:pt idx="4">
                  <c:v>935.75</c:v>
                </c:pt>
                <c:pt idx="5">
                  <c:v>931</c:v>
                </c:pt>
                <c:pt idx="6">
                  <c:v>926.25</c:v>
                </c:pt>
                <c:pt idx="7">
                  <c:v>921.5</c:v>
                </c:pt>
                <c:pt idx="8">
                  <c:v>916.75</c:v>
                </c:pt>
                <c:pt idx="9">
                  <c:v>912</c:v>
                </c:pt>
                <c:pt idx="10">
                  <c:v>907.24999999999989</c:v>
                </c:pt>
                <c:pt idx="11">
                  <c:v>902.49999999999989</c:v>
                </c:pt>
                <c:pt idx="12">
                  <c:v>897.75</c:v>
                </c:pt>
                <c:pt idx="13">
                  <c:v>893</c:v>
                </c:pt>
                <c:pt idx="14">
                  <c:v>888.25</c:v>
                </c:pt>
                <c:pt idx="15">
                  <c:v>883.5</c:v>
                </c:pt>
                <c:pt idx="16">
                  <c:v>878.75000000000011</c:v>
                </c:pt>
                <c:pt idx="17">
                  <c:v>874.00000000000011</c:v>
                </c:pt>
                <c:pt idx="18">
                  <c:v>869.25000000000011</c:v>
                </c:pt>
                <c:pt idx="19">
                  <c:v>864.50000000000011</c:v>
                </c:pt>
                <c:pt idx="20">
                  <c:v>859.75000000000011</c:v>
                </c:pt>
                <c:pt idx="21">
                  <c:v>855.00000000000011</c:v>
                </c:pt>
                <c:pt idx="22">
                  <c:v>850.25000000000011</c:v>
                </c:pt>
                <c:pt idx="23">
                  <c:v>845.50000000000011</c:v>
                </c:pt>
                <c:pt idx="24">
                  <c:v>840.75</c:v>
                </c:pt>
                <c:pt idx="25">
                  <c:v>836</c:v>
                </c:pt>
                <c:pt idx="26">
                  <c:v>831.25</c:v>
                </c:pt>
                <c:pt idx="27">
                  <c:v>826.5</c:v>
                </c:pt>
                <c:pt idx="28">
                  <c:v>821.75</c:v>
                </c:pt>
                <c:pt idx="29">
                  <c:v>817</c:v>
                </c:pt>
                <c:pt idx="30">
                  <c:v>812.25</c:v>
                </c:pt>
              </c:numCache>
            </c:numRef>
          </c:yVal>
          <c:smooth val="0"/>
          <c:extLst>
            <c:ext xmlns:c16="http://schemas.microsoft.com/office/drawing/2014/chart" uri="{C3380CC4-5D6E-409C-BE32-E72D297353CC}">
              <c16:uniqueId val="{00000000-0CFD-44A1-A49C-D05A34234BD2}"/>
            </c:ext>
          </c:extLst>
        </c:ser>
        <c:ser>
          <c:idx val="1"/>
          <c:order val="1"/>
          <c:marker>
            <c:symbol val="none"/>
          </c:marker>
          <c:xVal>
            <c:numRef>
              <c:f>Geschäftsmodell!$C$87:$AG$87</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Geschäftsmodell!$C$95:$AG$95</c:f>
              <c:numCache>
                <c:formatCode>0</c:formatCode>
                <c:ptCount val="31"/>
              </c:numCache>
            </c:numRef>
          </c:yVal>
          <c:smooth val="0"/>
          <c:extLst>
            <c:ext xmlns:c16="http://schemas.microsoft.com/office/drawing/2014/chart" uri="{C3380CC4-5D6E-409C-BE32-E72D297353CC}">
              <c16:uniqueId val="{00000001-0CFD-44A1-A49C-D05A34234BD2}"/>
            </c:ext>
          </c:extLst>
        </c:ser>
        <c:dLbls>
          <c:showLegendKey val="0"/>
          <c:showVal val="0"/>
          <c:showCatName val="0"/>
          <c:showSerName val="0"/>
          <c:showPercent val="0"/>
          <c:showBubbleSize val="0"/>
        </c:dLbls>
        <c:axId val="579374760"/>
        <c:axId val="1"/>
      </c:scatterChart>
      <c:valAx>
        <c:axId val="579374760"/>
        <c:scaling>
          <c:orientation val="minMax"/>
          <c:max val="3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max val="1000"/>
          <c:min val="0"/>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579374760"/>
        <c:crosses val="autoZero"/>
        <c:crossBetween val="midCat"/>
        <c:majorUnit val="2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2745351261069"/>
          <c:y val="7.8788034225130657E-2"/>
          <c:w val="0.80848580549929627"/>
          <c:h val="0.77373890021089842"/>
        </c:manualLayout>
      </c:layout>
      <c:scatterChart>
        <c:scatterStyle val="lineMarker"/>
        <c:varyColors val="0"/>
        <c:ser>
          <c:idx val="0"/>
          <c:order val="0"/>
          <c:tx>
            <c:strRef>
              <c:f>Geschäftsmodell!$A$97</c:f>
              <c:strCache>
                <c:ptCount val="1"/>
                <c:pt idx="0">
                  <c:v>Berechnete Entnahmen</c:v>
                </c:pt>
              </c:strCache>
            </c:strRef>
          </c:tx>
          <c:spPr>
            <a:ln w="38100">
              <a:solidFill>
                <a:srgbClr val="000080"/>
              </a:solidFill>
              <a:prstDash val="solid"/>
            </a:ln>
          </c:spPr>
          <c:marker>
            <c:symbol val="none"/>
          </c:marker>
          <c:xVal>
            <c:numRef>
              <c:f>Geschäftsmodell!$C$87:$AG$87</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Geschäftsmodell!$C$97:$AG$97</c:f>
              <c:numCache>
                <c:formatCode>0.00</c:formatCode>
                <c:ptCount val="31"/>
                <c:pt idx="0">
                  <c:v>0</c:v>
                </c:pt>
                <c:pt idx="1">
                  <c:v>722.89068189859165</c:v>
                </c:pt>
                <c:pt idx="2">
                  <c:v>722.89068189859165</c:v>
                </c:pt>
                <c:pt idx="3">
                  <c:v>722.89068189859165</c:v>
                </c:pt>
                <c:pt idx="4">
                  <c:v>722.89068189859165</c:v>
                </c:pt>
                <c:pt idx="5">
                  <c:v>722.89068189859165</c:v>
                </c:pt>
                <c:pt idx="6">
                  <c:v>722.89068189859165</c:v>
                </c:pt>
                <c:pt idx="7">
                  <c:v>722.89068189859165</c:v>
                </c:pt>
                <c:pt idx="8">
                  <c:v>722.89068189859165</c:v>
                </c:pt>
                <c:pt idx="9">
                  <c:v>722.89068189859165</c:v>
                </c:pt>
                <c:pt idx="10">
                  <c:v>722.89068189859165</c:v>
                </c:pt>
                <c:pt idx="11">
                  <c:v>722.89068189859165</c:v>
                </c:pt>
                <c:pt idx="12">
                  <c:v>722.89068189859165</c:v>
                </c:pt>
                <c:pt idx="13">
                  <c:v>722.89068189859165</c:v>
                </c:pt>
                <c:pt idx="14">
                  <c:v>722.89068189859165</c:v>
                </c:pt>
                <c:pt idx="15">
                  <c:v>722.89068189859165</c:v>
                </c:pt>
                <c:pt idx="16">
                  <c:v>1063.3706818985918</c:v>
                </c:pt>
                <c:pt idx="17">
                  <c:v>1063.3706818985918</c:v>
                </c:pt>
                <c:pt idx="18">
                  <c:v>1063.3706818985918</c:v>
                </c:pt>
                <c:pt idx="19">
                  <c:v>1063.3706818985918</c:v>
                </c:pt>
                <c:pt idx="20">
                  <c:v>1063.3706818985918</c:v>
                </c:pt>
                <c:pt idx="21">
                  <c:v>1063.3706818985918</c:v>
                </c:pt>
                <c:pt idx="22">
                  <c:v>1063.3706818985918</c:v>
                </c:pt>
                <c:pt idx="23">
                  <c:v>1063.3706818985918</c:v>
                </c:pt>
                <c:pt idx="24">
                  <c:v>1063.3706818985918</c:v>
                </c:pt>
                <c:pt idx="25">
                  <c:v>1063.3706818985918</c:v>
                </c:pt>
                <c:pt idx="26">
                  <c:v>1063.3706818985918</c:v>
                </c:pt>
                <c:pt idx="27">
                  <c:v>1063.3706818985918</c:v>
                </c:pt>
                <c:pt idx="28">
                  <c:v>1063.3706818985918</c:v>
                </c:pt>
                <c:pt idx="29">
                  <c:v>1063.3706818985918</c:v>
                </c:pt>
                <c:pt idx="30">
                  <c:v>1063.3706818985918</c:v>
                </c:pt>
              </c:numCache>
            </c:numRef>
          </c:yVal>
          <c:smooth val="0"/>
          <c:extLst>
            <c:ext xmlns:c16="http://schemas.microsoft.com/office/drawing/2014/chart" uri="{C3380CC4-5D6E-409C-BE32-E72D297353CC}">
              <c16:uniqueId val="{00000000-CDCA-4940-BDA9-ABF95DAEE966}"/>
            </c:ext>
          </c:extLst>
        </c:ser>
        <c:ser>
          <c:idx val="1"/>
          <c:order val="1"/>
          <c:tx>
            <c:strRef>
              <c:f>Geschäftsmodell!$A$98</c:f>
              <c:strCache>
                <c:ptCount val="1"/>
                <c:pt idx="0">
                  <c:v>Realisierte Entnahmen</c:v>
                </c:pt>
              </c:strCache>
            </c:strRef>
          </c:tx>
          <c:marker>
            <c:symbol val="none"/>
          </c:marker>
          <c:xVal>
            <c:numRef>
              <c:f>Geschäftsmodell!$C$87:$AG$87</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Geschäftsmodell!$C$98:$AG$98</c:f>
              <c:numCache>
                <c:formatCode>General</c:formatCode>
                <c:ptCount val="31"/>
              </c:numCache>
            </c:numRef>
          </c:yVal>
          <c:smooth val="0"/>
          <c:extLst>
            <c:ext xmlns:c16="http://schemas.microsoft.com/office/drawing/2014/chart" uri="{C3380CC4-5D6E-409C-BE32-E72D297353CC}">
              <c16:uniqueId val="{00000001-CDCA-4940-BDA9-ABF95DAEE966}"/>
            </c:ext>
          </c:extLst>
        </c:ser>
        <c:dLbls>
          <c:showLegendKey val="0"/>
          <c:showVal val="0"/>
          <c:showCatName val="0"/>
          <c:showSerName val="0"/>
          <c:showPercent val="0"/>
          <c:showBubbleSize val="0"/>
        </c:dLbls>
        <c:axId val="579372136"/>
        <c:axId val="1"/>
      </c:scatterChart>
      <c:valAx>
        <c:axId val="579372136"/>
        <c:scaling>
          <c:orientation val="minMax"/>
          <c:max val="3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max val="2000"/>
          <c:min val="0"/>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579372136"/>
        <c:crosses val="autoZero"/>
        <c:crossBetween val="midCat"/>
        <c:majorUnit val="5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674157303370786E-2"/>
          <c:y val="4.8611111111111112E-2"/>
          <c:w val="0.92022471910112358"/>
          <c:h val="0.89583333333333337"/>
        </c:manualLayout>
      </c:layout>
      <c:barChart>
        <c:barDir val="col"/>
        <c:grouping val="clustered"/>
        <c:varyColors val="0"/>
        <c:ser>
          <c:idx val="0"/>
          <c:order val="0"/>
          <c:tx>
            <c:strRef>
              <c:f>Strompreisentwicklung!$A$14</c:f>
              <c:strCache>
                <c:ptCount val="1"/>
                <c:pt idx="0">
                  <c:v>jählicher Preisanstieg für den günstigsten Preis</c:v>
                </c:pt>
              </c:strCache>
            </c:strRef>
          </c:tx>
          <c:invertIfNegative val="0"/>
          <c:cat>
            <c:numRef>
              <c:f>Strompreisentwicklung!$C$6:$R$6</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Strompreisentwicklung!$C$14:$R$14</c:f>
              <c:numCache>
                <c:formatCode>0.0%</c:formatCode>
                <c:ptCount val="16"/>
                <c:pt idx="0">
                  <c:v>5.0505050505049425E-3</c:v>
                </c:pt>
                <c:pt idx="1">
                  <c:v>0</c:v>
                </c:pt>
                <c:pt idx="2">
                  <c:v>6.7839195979899569E-2</c:v>
                </c:pt>
                <c:pt idx="3">
                  <c:v>0.10117647058823523</c:v>
                </c:pt>
                <c:pt idx="4">
                  <c:v>0.1004273504273505</c:v>
                </c:pt>
                <c:pt idx="5">
                  <c:v>3.8834951456310676E-2</c:v>
                </c:pt>
                <c:pt idx="6">
                  <c:v>-1.8691588785046728E-2</c:v>
                </c:pt>
                <c:pt idx="7">
                  <c:v>-1.1428571428571456E-2</c:v>
                </c:pt>
                <c:pt idx="8">
                  <c:v>-3.6994219653179228E-2</c:v>
                </c:pt>
                <c:pt idx="9">
                  <c:v>3.8415366146458622E-2</c:v>
                </c:pt>
                <c:pt idx="10">
                  <c:v>4.0077071290944094E-2</c:v>
                </c:pt>
                <c:pt idx="11">
                  <c:v>3.7050759540570584E-2</c:v>
                </c:pt>
                <c:pt idx="12">
                  <c:v>1.7863522686673815E-2</c:v>
                </c:pt>
                <c:pt idx="13">
                  <c:v>5.2650052650052653E-2</c:v>
                </c:pt>
                <c:pt idx="14">
                  <c:v>0.33377792597532518</c:v>
                </c:pt>
                <c:pt idx="15">
                  <c:v>-0.12750000000000003</c:v>
                </c:pt>
              </c:numCache>
            </c:numRef>
          </c:val>
          <c:extLst>
            <c:ext xmlns:c16="http://schemas.microsoft.com/office/drawing/2014/chart" uri="{C3380CC4-5D6E-409C-BE32-E72D297353CC}">
              <c16:uniqueId val="{00000000-17E3-4601-92E8-241B79798396}"/>
            </c:ext>
          </c:extLst>
        </c:ser>
        <c:ser>
          <c:idx val="1"/>
          <c:order val="1"/>
          <c:tx>
            <c:strRef>
              <c:f>Strompreisentwicklung!$A$15</c:f>
              <c:strCache>
                <c:ptCount val="1"/>
                <c:pt idx="0">
                  <c:v>mittlerer Preisanstieg pro Jahr seit 2008</c:v>
                </c:pt>
              </c:strCache>
            </c:strRef>
          </c:tx>
          <c:spPr>
            <a:solidFill>
              <a:srgbClr val="FF0000"/>
            </a:solidFill>
          </c:spPr>
          <c:invertIfNegative val="0"/>
          <c:cat>
            <c:numRef>
              <c:f>Strompreisentwicklung!$C$6:$R$6</c:f>
              <c:numCache>
                <c:formatCode>General</c:formatCod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numCache>
            </c:numRef>
          </c:cat>
          <c:val>
            <c:numRef>
              <c:f>Strompreisentwicklung!$C$15:$R$15</c:f>
              <c:numCache>
                <c:formatCode>0.0%</c:formatCode>
                <c:ptCount val="16"/>
                <c:pt idx="0">
                  <c:v>5.050505050504972E-3</c:v>
                </c:pt>
                <c:pt idx="1">
                  <c:v>2.5220721014100889E-3</c:v>
                </c:pt>
                <c:pt idx="2">
                  <c:v>2.3838008443008762E-2</c:v>
                </c:pt>
                <c:pt idx="3">
                  <c:v>4.264788543842446E-2</c:v>
                </c:pt>
                <c:pt idx="4">
                  <c:v>5.3955825427599358E-2</c:v>
                </c:pt>
                <c:pt idx="5">
                  <c:v>5.1420481335200607E-2</c:v>
                </c:pt>
                <c:pt idx="6">
                  <c:v>4.1105819147615685E-2</c:v>
                </c:pt>
                <c:pt idx="7">
                  <c:v>3.4389304890367844E-2</c:v>
                </c:pt>
                <c:pt idx="8">
                  <c:v>2.6203406010751662E-2</c:v>
                </c:pt>
                <c:pt idx="9">
                  <c:v>2.74181113107832E-2</c:v>
                </c:pt>
                <c:pt idx="10">
                  <c:v>2.8562530784063789E-2</c:v>
                </c:pt>
                <c:pt idx="11">
                  <c:v>2.9267221710524316E-2</c:v>
                </c:pt>
                <c:pt idx="12">
                  <c:v>2.8385496298976909E-2</c:v>
                </c:pt>
                <c:pt idx="13">
                  <c:v>3.0099975450898375E-2</c:v>
                </c:pt>
                <c:pt idx="14">
                  <c:v>4.7996068465465447E-2</c:v>
                </c:pt>
                <c:pt idx="15">
                  <c:v>3.6060257462029011E-2</c:v>
                </c:pt>
              </c:numCache>
            </c:numRef>
          </c:val>
          <c:extLst>
            <c:ext xmlns:c16="http://schemas.microsoft.com/office/drawing/2014/chart" uri="{C3380CC4-5D6E-409C-BE32-E72D297353CC}">
              <c16:uniqueId val="{00000001-17E3-4601-92E8-241B79798396}"/>
            </c:ext>
          </c:extLst>
        </c:ser>
        <c:dLbls>
          <c:showLegendKey val="0"/>
          <c:showVal val="0"/>
          <c:showCatName val="0"/>
          <c:showSerName val="0"/>
          <c:showPercent val="0"/>
          <c:showBubbleSize val="0"/>
        </c:dLbls>
        <c:gapWidth val="150"/>
        <c:axId val="1073890008"/>
        <c:axId val="1"/>
      </c:barChart>
      <c:catAx>
        <c:axId val="1073890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NL"/>
          </a:p>
        </c:txPr>
        <c:crossAx val="1"/>
        <c:crossesAt val="0"/>
        <c:auto val="1"/>
        <c:lblAlgn val="ctr"/>
        <c:lblOffset val="100"/>
        <c:noMultiLvlLbl val="0"/>
      </c:catAx>
      <c:valAx>
        <c:axId val="1"/>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NL"/>
          </a:p>
        </c:txPr>
        <c:crossAx val="10738900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NL"/>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Strompreis Entwicklung in ct/kWh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Strompreisentwicklung!$B$6:$R$6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xVal>
          <c:yVal>
            <c:numRef>
              <c:f>Strompreisentwicklung!$B$13:$R$13</c:f>
              <c:numCache>
                <c:formatCode>General</c:formatCode>
                <c:ptCount val="17"/>
                <c:pt idx="0">
                  <c:v>19.8</c:v>
                </c:pt>
                <c:pt idx="1">
                  <c:v>19.899999999999999</c:v>
                </c:pt>
                <c:pt idx="2">
                  <c:v>19.899999999999999</c:v>
                </c:pt>
                <c:pt idx="3">
                  <c:v>21.25</c:v>
                </c:pt>
                <c:pt idx="4">
                  <c:v>23.4</c:v>
                </c:pt>
                <c:pt idx="5">
                  <c:v>25.75</c:v>
                </c:pt>
                <c:pt idx="6">
                  <c:v>26.75</c:v>
                </c:pt>
                <c:pt idx="7">
                  <c:v>26.25</c:v>
                </c:pt>
                <c:pt idx="8">
                  <c:v>25.95</c:v>
                </c:pt>
                <c:pt idx="9">
                  <c:v>24.99</c:v>
                </c:pt>
                <c:pt idx="10">
                  <c:v>25.95</c:v>
                </c:pt>
                <c:pt idx="11">
                  <c:v>26.99</c:v>
                </c:pt>
                <c:pt idx="12">
                  <c:v>27.99</c:v>
                </c:pt>
                <c:pt idx="13">
                  <c:v>28.49</c:v>
                </c:pt>
                <c:pt idx="14">
                  <c:v>29.99</c:v>
                </c:pt>
                <c:pt idx="15">
                  <c:v>40</c:v>
                </c:pt>
                <c:pt idx="16">
                  <c:v>34.9</c:v>
                </c:pt>
              </c:numCache>
            </c:numRef>
          </c:yVal>
          <c:smooth val="1"/>
          <c:extLst>
            <c:ext xmlns:c16="http://schemas.microsoft.com/office/drawing/2014/chart" uri="{C3380CC4-5D6E-409C-BE32-E72D297353CC}">
              <c16:uniqueId val="{00000002-E433-4CCB-990A-619FE78A84C7}"/>
            </c:ext>
          </c:extLst>
        </c:ser>
        <c:dLbls>
          <c:showLegendKey val="0"/>
          <c:showVal val="0"/>
          <c:showCatName val="0"/>
          <c:showSerName val="0"/>
          <c:showPercent val="0"/>
          <c:showBubbleSize val="0"/>
        </c:dLbls>
        <c:axId val="1225931568"/>
        <c:axId val="910878168"/>
      </c:scatterChart>
      <c:valAx>
        <c:axId val="1225931568"/>
        <c:scaling>
          <c:orientation val="minMax"/>
          <c:min val="200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NL"/>
          </a:p>
        </c:txPr>
        <c:crossAx val="910878168"/>
        <c:crosses val="autoZero"/>
        <c:crossBetween val="midCat"/>
        <c:majorUnit val="2"/>
      </c:valAx>
      <c:valAx>
        <c:axId val="910878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NL"/>
          </a:p>
        </c:txPr>
        <c:crossAx val="12259315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22860</xdr:colOff>
      <xdr:row>52</xdr:row>
      <xdr:rowOff>7620</xdr:rowOff>
    </xdr:from>
    <xdr:to>
      <xdr:col>17</xdr:col>
      <xdr:colOff>787400</xdr:colOff>
      <xdr:row>81</xdr:row>
      <xdr:rowOff>7620</xdr:rowOff>
    </xdr:to>
    <xdr:graphicFrame macro="">
      <xdr:nvGraphicFramePr>
        <xdr:cNvPr id="2" name="Chart 3">
          <a:extLst>
            <a:ext uri="{FF2B5EF4-FFF2-40B4-BE49-F238E27FC236}">
              <a16:creationId xmlns:a16="http://schemas.microsoft.com/office/drawing/2014/main" id="{462C807C-3842-4563-8FE1-56F1D7060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30480</xdr:colOff>
      <xdr:row>52</xdr:row>
      <xdr:rowOff>83820</xdr:rowOff>
    </xdr:from>
    <xdr:to>
      <xdr:col>30</xdr:col>
      <xdr:colOff>457200</xdr:colOff>
      <xdr:row>81</xdr:row>
      <xdr:rowOff>170180</xdr:rowOff>
    </xdr:to>
    <xdr:graphicFrame macro="">
      <xdr:nvGraphicFramePr>
        <xdr:cNvPr id="3" name="Chart 3">
          <a:extLst>
            <a:ext uri="{FF2B5EF4-FFF2-40B4-BE49-F238E27FC236}">
              <a16:creationId xmlns:a16="http://schemas.microsoft.com/office/drawing/2014/main" id="{D9FD93D6-AE6D-4250-943F-029E31DFD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101</xdr:row>
      <xdr:rowOff>0</xdr:rowOff>
    </xdr:from>
    <xdr:to>
      <xdr:col>17</xdr:col>
      <xdr:colOff>723900</xdr:colOff>
      <xdr:row>130</xdr:row>
      <xdr:rowOff>22860</xdr:rowOff>
    </xdr:to>
    <xdr:graphicFrame macro="">
      <xdr:nvGraphicFramePr>
        <xdr:cNvPr id="4" name="Chart 3">
          <a:extLst>
            <a:ext uri="{FF2B5EF4-FFF2-40B4-BE49-F238E27FC236}">
              <a16:creationId xmlns:a16="http://schemas.microsoft.com/office/drawing/2014/main" id="{8A6F57A6-0AB8-4F4D-B2A0-613F7C68A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708660</xdr:colOff>
      <xdr:row>101</xdr:row>
      <xdr:rowOff>0</xdr:rowOff>
    </xdr:from>
    <xdr:to>
      <xdr:col>33</xdr:col>
      <xdr:colOff>1249680</xdr:colOff>
      <xdr:row>130</xdr:row>
      <xdr:rowOff>22860</xdr:rowOff>
    </xdr:to>
    <xdr:graphicFrame macro="">
      <xdr:nvGraphicFramePr>
        <xdr:cNvPr id="5" name="Chart 4">
          <a:extLst>
            <a:ext uri="{FF2B5EF4-FFF2-40B4-BE49-F238E27FC236}">
              <a16:creationId xmlns:a16="http://schemas.microsoft.com/office/drawing/2014/main" id="{088F2F77-78A7-4DB6-B190-EFDACB009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18</xdr:row>
      <xdr:rowOff>22860</xdr:rowOff>
    </xdr:from>
    <xdr:to>
      <xdr:col>12</xdr:col>
      <xdr:colOff>762000</xdr:colOff>
      <xdr:row>35</xdr:row>
      <xdr:rowOff>7620</xdr:rowOff>
    </xdr:to>
    <xdr:graphicFrame macro="">
      <xdr:nvGraphicFramePr>
        <xdr:cNvPr id="2" name="Diagramm 1">
          <a:extLst>
            <a:ext uri="{FF2B5EF4-FFF2-40B4-BE49-F238E27FC236}">
              <a16:creationId xmlns:a16="http://schemas.microsoft.com/office/drawing/2014/main" id="{D507B3F7-244D-46E4-BCF5-31B19EF91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548640</xdr:colOff>
      <xdr:row>18</xdr:row>
      <xdr:rowOff>7620</xdr:rowOff>
    </xdr:from>
    <xdr:to>
      <xdr:col>21</xdr:col>
      <xdr:colOff>243840</xdr:colOff>
      <xdr:row>33</xdr:row>
      <xdr:rowOff>7620</xdr:rowOff>
    </xdr:to>
    <xdr:graphicFrame macro="">
      <xdr:nvGraphicFramePr>
        <xdr:cNvPr id="3" name="Chart 2">
          <a:extLst>
            <a:ext uri="{FF2B5EF4-FFF2-40B4-BE49-F238E27FC236}">
              <a16:creationId xmlns:a16="http://schemas.microsoft.com/office/drawing/2014/main" id="{C87FF807-8F5A-D704-1F92-5E3D91B456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e.wikipedia.org/wiki/Annuit%C3%A4tendarleh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584EE-764D-4F2E-A38F-E131CC5382F9}">
  <dimension ref="A1:G40"/>
  <sheetViews>
    <sheetView tabSelected="1" workbookViewId="0">
      <selection activeCell="D22" sqref="D22"/>
    </sheetView>
  </sheetViews>
  <sheetFormatPr defaultRowHeight="14.4"/>
  <cols>
    <col min="1" max="1" width="66.88671875" customWidth="1"/>
    <col min="4" max="4" width="103.5546875" customWidth="1"/>
  </cols>
  <sheetData>
    <row r="1" spans="1:7">
      <c r="A1" s="1" t="s">
        <v>152</v>
      </c>
    </row>
    <row r="2" spans="1:7">
      <c r="A2" s="2" t="s">
        <v>0</v>
      </c>
    </row>
    <row r="3" spans="1:7">
      <c r="A3" s="2" t="s">
        <v>1</v>
      </c>
    </row>
    <row r="4" spans="1:7">
      <c r="C4" s="64" t="s">
        <v>143</v>
      </c>
    </row>
    <row r="5" spans="1:7">
      <c r="A5" s="3" t="s">
        <v>2</v>
      </c>
      <c r="B5" s="4"/>
      <c r="C5" t="s">
        <v>144</v>
      </c>
      <c r="D5" s="5"/>
      <c r="E5" s="5"/>
      <c r="F5" s="5"/>
      <c r="G5" s="5"/>
    </row>
    <row r="6" spans="1:7">
      <c r="A6" s="5" t="s">
        <v>3</v>
      </c>
      <c r="B6" s="4" t="s">
        <v>4</v>
      </c>
      <c r="C6" s="65">
        <f>16*0.42</f>
        <v>6.72</v>
      </c>
      <c r="D6" s="5" t="s">
        <v>153</v>
      </c>
      <c r="E6" s="5"/>
      <c r="F6" s="5"/>
      <c r="G6" s="5"/>
    </row>
    <row r="7" spans="1:7" ht="27">
      <c r="A7" s="7" t="s">
        <v>32</v>
      </c>
      <c r="B7" s="8" t="s">
        <v>5</v>
      </c>
      <c r="C7" s="66">
        <v>950</v>
      </c>
      <c r="D7" s="9" t="s">
        <v>132</v>
      </c>
      <c r="E7" s="5"/>
      <c r="F7" s="5"/>
      <c r="G7" s="5"/>
    </row>
    <row r="8" spans="1:7">
      <c r="A8" s="5" t="s">
        <v>6</v>
      </c>
      <c r="B8" s="4" t="s">
        <v>7</v>
      </c>
      <c r="C8" s="67">
        <v>5.0000000000000001E-3</v>
      </c>
      <c r="D8" s="5" t="s">
        <v>8</v>
      </c>
      <c r="E8" s="5"/>
      <c r="F8" s="5"/>
      <c r="G8" s="5"/>
    </row>
    <row r="9" spans="1:7">
      <c r="A9" s="5"/>
      <c r="B9" s="4"/>
      <c r="C9" s="11"/>
      <c r="D9" s="5"/>
      <c r="E9" s="5"/>
      <c r="F9" s="5"/>
      <c r="G9" s="5"/>
    </row>
    <row r="10" spans="1:7">
      <c r="A10" s="5" t="s">
        <v>9</v>
      </c>
      <c r="B10" s="4" t="s">
        <v>10</v>
      </c>
      <c r="C10" s="68">
        <v>8.1199999999999994E-2</v>
      </c>
      <c r="D10" s="5" t="s">
        <v>147</v>
      </c>
      <c r="E10" s="5"/>
      <c r="F10" s="5"/>
      <c r="G10" s="5"/>
    </row>
    <row r="11" spans="1:7">
      <c r="A11" s="5" t="s">
        <v>148</v>
      </c>
      <c r="B11" s="4" t="s">
        <v>10</v>
      </c>
      <c r="C11" s="68">
        <v>0.34899999999999998</v>
      </c>
      <c r="D11" s="5" t="s">
        <v>150</v>
      </c>
      <c r="E11" s="5"/>
      <c r="F11" s="5"/>
      <c r="G11" s="5"/>
    </row>
    <row r="12" spans="1:7">
      <c r="A12" s="5" t="s">
        <v>11</v>
      </c>
      <c r="B12" s="4"/>
      <c r="C12" s="69">
        <v>0.03</v>
      </c>
      <c r="D12" s="5" t="s">
        <v>134</v>
      </c>
      <c r="E12" s="5"/>
      <c r="F12" s="5"/>
      <c r="G12" s="5"/>
    </row>
    <row r="13" spans="1:7">
      <c r="A13" s="5" t="s">
        <v>12</v>
      </c>
      <c r="B13" s="4"/>
      <c r="C13" s="69">
        <v>0.25</v>
      </c>
      <c r="D13" s="5"/>
      <c r="E13" s="5"/>
      <c r="F13" s="5"/>
      <c r="G13" s="5"/>
    </row>
    <row r="14" spans="1:7">
      <c r="A14" s="5"/>
      <c r="B14" s="4"/>
      <c r="C14" s="4"/>
      <c r="D14" s="5"/>
      <c r="E14" s="5"/>
      <c r="F14" s="5"/>
      <c r="G14" s="5"/>
    </row>
    <row r="15" spans="1:7">
      <c r="A15" s="5" t="s">
        <v>138</v>
      </c>
      <c r="B15" s="4" t="s">
        <v>13</v>
      </c>
      <c r="C15" s="65">
        <f>1900</f>
        <v>1900</v>
      </c>
      <c r="D15" s="5" t="s">
        <v>151</v>
      </c>
      <c r="E15" s="5"/>
      <c r="F15" s="5"/>
      <c r="G15" s="5"/>
    </row>
    <row r="16" spans="1:7">
      <c r="A16" s="5" t="s">
        <v>139</v>
      </c>
      <c r="B16" s="4" t="s">
        <v>14</v>
      </c>
      <c r="C16" s="6">
        <f>C6*C15</f>
        <v>12768</v>
      </c>
      <c r="D16" s="5"/>
      <c r="E16" s="5"/>
      <c r="F16" s="5"/>
      <c r="G16" s="5"/>
    </row>
    <row r="17" spans="1:7">
      <c r="A17" s="5" t="s">
        <v>15</v>
      </c>
      <c r="B17" s="4" t="s">
        <v>16</v>
      </c>
      <c r="C17" s="70">
        <v>1</v>
      </c>
      <c r="D17" s="5" t="s">
        <v>17</v>
      </c>
      <c r="E17" s="5"/>
      <c r="F17" s="5"/>
      <c r="G17" s="5"/>
    </row>
    <row r="18" spans="1:7">
      <c r="A18" s="5" t="s">
        <v>15</v>
      </c>
      <c r="B18" s="4" t="s">
        <v>14</v>
      </c>
      <c r="C18" s="13">
        <f>C16*C17</f>
        <v>12768</v>
      </c>
      <c r="D18" s="5"/>
      <c r="E18" s="5"/>
      <c r="F18" s="5"/>
      <c r="G18" s="5"/>
    </row>
    <row r="19" spans="1:7" ht="39.6">
      <c r="A19" s="7" t="s">
        <v>33</v>
      </c>
      <c r="B19" s="8"/>
      <c r="C19" s="14">
        <v>0</v>
      </c>
      <c r="D19" s="15" t="s">
        <v>131</v>
      </c>
      <c r="E19" s="7"/>
      <c r="F19" s="5"/>
      <c r="G19" s="5"/>
    </row>
    <row r="20" spans="1:7">
      <c r="A20" s="5"/>
      <c r="B20" s="4"/>
      <c r="C20" s="12"/>
      <c r="D20" s="5"/>
      <c r="E20" s="5"/>
      <c r="F20" s="5"/>
      <c r="G20" s="5"/>
    </row>
    <row r="21" spans="1:7">
      <c r="A21" s="5" t="s">
        <v>18</v>
      </c>
      <c r="B21" s="4" t="s">
        <v>16</v>
      </c>
      <c r="C21" s="12">
        <f>100%-C17</f>
        <v>0</v>
      </c>
      <c r="D21" s="5"/>
      <c r="E21" s="5"/>
      <c r="F21" s="5"/>
      <c r="G21" s="5"/>
    </row>
    <row r="22" spans="1:7">
      <c r="A22" s="5" t="s">
        <v>19</v>
      </c>
      <c r="B22" s="4"/>
      <c r="C22" s="4">
        <f>C16*C21/C23</f>
        <v>0</v>
      </c>
      <c r="D22" s="5"/>
      <c r="E22" s="5"/>
      <c r="F22" s="5"/>
      <c r="G22" s="5"/>
    </row>
    <row r="23" spans="1:7">
      <c r="A23" s="5" t="s">
        <v>20</v>
      </c>
      <c r="B23" s="4" t="s">
        <v>16</v>
      </c>
      <c r="C23" s="70">
        <v>0.96</v>
      </c>
      <c r="D23" s="5"/>
      <c r="E23" s="5"/>
      <c r="F23" s="5"/>
      <c r="G23" s="5"/>
    </row>
    <row r="24" spans="1:7">
      <c r="A24" s="5" t="s">
        <v>21</v>
      </c>
      <c r="B24" s="4" t="s">
        <v>16</v>
      </c>
      <c r="C24" s="67">
        <v>0.04</v>
      </c>
      <c r="D24" s="5"/>
      <c r="E24" s="5"/>
      <c r="F24" s="5"/>
      <c r="G24" s="5"/>
    </row>
    <row r="25" spans="1:7">
      <c r="A25" s="5" t="s">
        <v>22</v>
      </c>
      <c r="B25" s="4" t="s">
        <v>23</v>
      </c>
      <c r="C25" s="4">
        <v>2</v>
      </c>
      <c r="D25" s="5"/>
      <c r="E25" s="5"/>
      <c r="F25" s="5"/>
      <c r="G25" s="5"/>
    </row>
    <row r="26" spans="1:7">
      <c r="A26" s="5" t="s">
        <v>24</v>
      </c>
      <c r="B26" s="4" t="s">
        <v>16</v>
      </c>
      <c r="C26" s="10">
        <v>0</v>
      </c>
      <c r="D26" s="10"/>
      <c r="E26" s="5"/>
      <c r="F26" s="5"/>
      <c r="G26" s="5"/>
    </row>
    <row r="27" spans="1:7">
      <c r="A27" s="5" t="s">
        <v>24</v>
      </c>
      <c r="B27" s="4" t="s">
        <v>14</v>
      </c>
      <c r="C27" s="6">
        <f>C22*D26</f>
        <v>0</v>
      </c>
      <c r="D27" s="5" t="s">
        <v>145</v>
      </c>
      <c r="E27" s="5"/>
      <c r="F27" s="5"/>
      <c r="G27" s="5"/>
    </row>
    <row r="28" spans="1:7">
      <c r="A28" s="5" t="s">
        <v>25</v>
      </c>
      <c r="B28" s="4" t="s">
        <v>23</v>
      </c>
      <c r="C28" s="71">
        <v>15</v>
      </c>
      <c r="D28" s="5"/>
      <c r="E28" s="5"/>
      <c r="F28" s="5"/>
      <c r="G28" s="5"/>
    </row>
    <row r="29" spans="1:7">
      <c r="A29" s="5"/>
      <c r="B29" s="4"/>
      <c r="C29" s="71"/>
      <c r="D29" s="5"/>
      <c r="E29" s="5"/>
      <c r="F29" s="5"/>
      <c r="G29" s="5"/>
    </row>
    <row r="30" spans="1:7">
      <c r="A30" s="5" t="s">
        <v>26</v>
      </c>
      <c r="B30" s="4" t="s">
        <v>14</v>
      </c>
      <c r="C30" s="71">
        <v>20</v>
      </c>
      <c r="D30" s="5" t="s">
        <v>141</v>
      </c>
      <c r="E30" s="5"/>
      <c r="F30" s="5"/>
      <c r="G30" s="5"/>
    </row>
    <row r="31" spans="1:7">
      <c r="A31" s="5" t="s">
        <v>27</v>
      </c>
      <c r="B31" s="4" t="s">
        <v>16</v>
      </c>
      <c r="C31" s="67">
        <v>3.0000000000000001E-3</v>
      </c>
      <c r="D31" s="16" t="s">
        <v>28</v>
      </c>
      <c r="E31" s="17">
        <f>0.003*C16</f>
        <v>38.304000000000002</v>
      </c>
      <c r="F31" s="5" t="s">
        <v>14</v>
      </c>
      <c r="G31" s="5" t="s">
        <v>135</v>
      </c>
    </row>
    <row r="32" spans="1:7">
      <c r="A32" s="5" t="s">
        <v>140</v>
      </c>
      <c r="B32" s="4" t="s">
        <v>16</v>
      </c>
      <c r="C32" s="70">
        <v>0.2</v>
      </c>
      <c r="D32" s="5" t="s">
        <v>28</v>
      </c>
      <c r="E32" s="5"/>
      <c r="F32" s="5"/>
      <c r="G32" s="5"/>
    </row>
    <row r="33" spans="1:7">
      <c r="A33" s="5" t="s">
        <v>29</v>
      </c>
      <c r="B33" s="4" t="s">
        <v>16</v>
      </c>
      <c r="C33" s="70">
        <v>0.05</v>
      </c>
      <c r="D33" s="5" t="s">
        <v>28</v>
      </c>
      <c r="E33" s="5"/>
      <c r="F33" s="5"/>
      <c r="G33" s="5"/>
    </row>
    <row r="34" spans="1:7">
      <c r="A34" s="5"/>
      <c r="B34" s="4"/>
      <c r="C34" s="4"/>
      <c r="D34" s="5"/>
      <c r="E34" s="5"/>
      <c r="F34" s="5"/>
      <c r="G34" s="5"/>
    </row>
    <row r="35" spans="1:7">
      <c r="A35" s="5" t="s">
        <v>30</v>
      </c>
      <c r="B35" s="4"/>
      <c r="C35" s="13">
        <v>30</v>
      </c>
      <c r="D35" s="2" t="s">
        <v>31</v>
      </c>
    </row>
    <row r="36" spans="1:7">
      <c r="A36" s="1"/>
    </row>
    <row r="37" spans="1:7">
      <c r="A37" s="18"/>
    </row>
    <row r="38" spans="1:7">
      <c r="A38" s="2"/>
    </row>
    <row r="40" spans="1:7" ht="19.2">
      <c r="A40" s="19"/>
    </row>
  </sheetData>
  <pageMargins left="0.7" right="0.7" top="0.75" bottom="0.75" header="0.3" footer="0.3"/>
  <pageSetup paperSize="9" orientation="portrait" r:id="rId1"/>
  <headerFooter>
    <oddHeader>&amp;L&amp;"Calibri"&amp;10&amp;K000000Classified&amp;1#</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68CE7-77E9-45DB-90AD-CC38BB410A5B}">
  <dimension ref="A1:AL140"/>
  <sheetViews>
    <sheetView topLeftCell="I36" zoomScale="60" zoomScaleNormal="60" workbookViewId="0">
      <selection activeCell="AH60" sqref="AH60"/>
    </sheetView>
  </sheetViews>
  <sheetFormatPr defaultRowHeight="14.4"/>
  <cols>
    <col min="1" max="1" width="46.109375" customWidth="1"/>
    <col min="3" max="33" width="11.77734375" customWidth="1"/>
    <col min="34" max="34" width="10.77734375" customWidth="1"/>
    <col min="35" max="35" width="17.77734375" customWidth="1"/>
    <col min="36" max="36" width="20.21875" customWidth="1"/>
    <col min="37" max="37" width="16.109375" customWidth="1"/>
  </cols>
  <sheetData>
    <row r="1" spans="1:38">
      <c r="A1" s="1" t="s">
        <v>136</v>
      </c>
    </row>
    <row r="2" spans="1:38">
      <c r="A2" s="2" t="s">
        <v>0</v>
      </c>
    </row>
    <row r="3" spans="1:38">
      <c r="A3" s="2" t="s">
        <v>1</v>
      </c>
    </row>
    <row r="4" spans="1:38">
      <c r="A4" s="2" t="s">
        <v>34</v>
      </c>
    </row>
    <row r="5" spans="1:38">
      <c r="A5" s="2" t="s">
        <v>35</v>
      </c>
    </row>
    <row r="6" spans="1:38" ht="15.6">
      <c r="A6" s="20"/>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1"/>
      <c r="AI6" s="4"/>
      <c r="AJ6" s="4"/>
      <c r="AK6" s="4"/>
      <c r="AL6" s="5"/>
    </row>
    <row r="7" spans="1:38" ht="15.6">
      <c r="A7" s="22"/>
      <c r="B7" s="23"/>
      <c r="C7" s="24" t="s">
        <v>36</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5"/>
      <c r="AI7" s="4"/>
      <c r="AJ7" s="4"/>
      <c r="AK7" s="4"/>
      <c r="AL7" s="5"/>
    </row>
    <row r="8" spans="1:38" ht="15.6">
      <c r="A8" s="22"/>
      <c r="B8" s="23"/>
      <c r="C8" s="26">
        <v>0</v>
      </c>
      <c r="D8" s="26">
        <v>1</v>
      </c>
      <c r="E8" s="26">
        <v>2</v>
      </c>
      <c r="F8" s="26">
        <v>3</v>
      </c>
      <c r="G8" s="26">
        <v>4</v>
      </c>
      <c r="H8" s="26">
        <v>5</v>
      </c>
      <c r="I8" s="26">
        <v>6</v>
      </c>
      <c r="J8" s="26">
        <v>7</v>
      </c>
      <c r="K8" s="26">
        <v>8</v>
      </c>
      <c r="L8" s="26">
        <v>9</v>
      </c>
      <c r="M8" s="26">
        <v>10</v>
      </c>
      <c r="N8" s="26">
        <v>11</v>
      </c>
      <c r="O8" s="26">
        <v>12</v>
      </c>
      <c r="P8" s="26">
        <v>13</v>
      </c>
      <c r="Q8" s="26">
        <v>14</v>
      </c>
      <c r="R8" s="26">
        <v>15</v>
      </c>
      <c r="S8" s="26">
        <v>16</v>
      </c>
      <c r="T8" s="26">
        <v>17</v>
      </c>
      <c r="U8" s="26">
        <v>18</v>
      </c>
      <c r="V8" s="26">
        <v>19</v>
      </c>
      <c r="W8" s="26">
        <v>20</v>
      </c>
      <c r="X8" s="26">
        <v>21</v>
      </c>
      <c r="Y8" s="26">
        <v>22</v>
      </c>
      <c r="Z8" s="26">
        <v>23</v>
      </c>
      <c r="AA8" s="26">
        <v>24</v>
      </c>
      <c r="AB8" s="26">
        <v>25</v>
      </c>
      <c r="AC8" s="26">
        <v>26</v>
      </c>
      <c r="AD8" s="26">
        <v>27</v>
      </c>
      <c r="AE8" s="26">
        <v>28</v>
      </c>
      <c r="AF8" s="26">
        <v>29</v>
      </c>
      <c r="AG8" s="26">
        <v>30</v>
      </c>
      <c r="AH8" s="25" t="s">
        <v>37</v>
      </c>
      <c r="AI8" s="4"/>
      <c r="AJ8" s="4"/>
      <c r="AK8" s="4"/>
      <c r="AL8" s="5"/>
    </row>
    <row r="9" spans="1:38" ht="15.6">
      <c r="A9" s="27" t="s">
        <v>38</v>
      </c>
      <c r="B9" s="23" t="s">
        <v>39</v>
      </c>
      <c r="C9" s="26">
        <f>0.7*Modelldaten!$C$6*Modelldaten!$C$7*(1-C8*Modelldaten!$C$8)</f>
        <v>4468.8</v>
      </c>
      <c r="D9" s="26">
        <f>Modelldaten!$C$6*Modelldaten!$C$7</f>
        <v>6384</v>
      </c>
      <c r="E9" s="26">
        <f>Modelldaten!$C$6*Modelldaten!$C$7*(1-D8*Modelldaten!$C$8)</f>
        <v>6352.08</v>
      </c>
      <c r="F9" s="26">
        <f>Modelldaten!$C$6*Modelldaten!$C$7*(1-E8*Modelldaten!$C$8)</f>
        <v>6320.16</v>
      </c>
      <c r="G9" s="26">
        <f>Modelldaten!$C$6*Modelldaten!$C$7*(1-F8*Modelldaten!$C$8)</f>
        <v>6288.24</v>
      </c>
      <c r="H9" s="26">
        <f>Modelldaten!$C$6*Modelldaten!$C$7*(1-G8*Modelldaten!$C$8)</f>
        <v>6256.32</v>
      </c>
      <c r="I9" s="26">
        <f>Modelldaten!$C$6*Modelldaten!$C$7*(1-H8*Modelldaten!$C$8)</f>
        <v>6224.4</v>
      </c>
      <c r="J9" s="26">
        <f>Modelldaten!$C$6*Modelldaten!$C$7*(1-I8*Modelldaten!$C$8)</f>
        <v>6192.48</v>
      </c>
      <c r="K9" s="26">
        <f>Modelldaten!$C$6*Modelldaten!$C$7*(1-J8*Modelldaten!$C$8)</f>
        <v>6160.5599999999995</v>
      </c>
      <c r="L9" s="26">
        <f>Modelldaten!$C$6*Modelldaten!$C$7*(1-K8*Modelldaten!$C$8)</f>
        <v>6128.6399999999994</v>
      </c>
      <c r="M9" s="26">
        <f>Modelldaten!$C$6*Modelldaten!$C$7*(1-L8*Modelldaten!$C$8)</f>
        <v>6096.7199999999993</v>
      </c>
      <c r="N9" s="26">
        <f>Modelldaten!$C$6*Modelldaten!$C$7*(1-M8*Modelldaten!$C$8)</f>
        <v>6064.7999999999993</v>
      </c>
      <c r="O9" s="26">
        <f>Modelldaten!$C$6*Modelldaten!$C$7*(1-N8*Modelldaten!$C$8)</f>
        <v>6032.88</v>
      </c>
      <c r="P9" s="26">
        <f>Modelldaten!$C$6*Modelldaten!$C$7*(1-O8*Modelldaten!$C$8)</f>
        <v>6000.96</v>
      </c>
      <c r="Q9" s="26">
        <f>Modelldaten!$C$6*Modelldaten!$C$7*(1-P8*Modelldaten!$C$8)</f>
        <v>5969.04</v>
      </c>
      <c r="R9" s="26">
        <f>Modelldaten!$C$6*Modelldaten!$C$7*(1-Q8*Modelldaten!$C$8)</f>
        <v>5937.12</v>
      </c>
      <c r="S9" s="26">
        <f>Modelldaten!$C$6*Modelldaten!$C$7*(1-R8*Modelldaten!$C$8)</f>
        <v>5905.2000000000007</v>
      </c>
      <c r="T9" s="26">
        <f>Modelldaten!$C$6*Modelldaten!$C$7*(1-S8*Modelldaten!$C$8)</f>
        <v>5873.2800000000007</v>
      </c>
      <c r="U9" s="26">
        <f>Modelldaten!$C$6*Modelldaten!$C$7*(1-T8*Modelldaten!$C$8)</f>
        <v>5841.3600000000006</v>
      </c>
      <c r="V9" s="26">
        <f>Modelldaten!$C$6*Modelldaten!$C$7*(1-U8*Modelldaten!$C$8)</f>
        <v>5809.4400000000005</v>
      </c>
      <c r="W9" s="26">
        <f>Modelldaten!$C$6*Modelldaten!$C$7*(1-V8*Modelldaten!$C$8)</f>
        <v>5777.52</v>
      </c>
      <c r="X9" s="26">
        <f>Modelldaten!$C$6*Modelldaten!$C$7*(1-W8*Modelldaten!$C$8)</f>
        <v>5745.6</v>
      </c>
      <c r="Y9" s="26">
        <f>Modelldaten!$C$6*Modelldaten!$C$7*(1-X8*Modelldaten!$C$8)</f>
        <v>5713.68</v>
      </c>
      <c r="Z9" s="26">
        <f>Modelldaten!$C$6*Modelldaten!$C$7*(1-Y8*Modelldaten!$C$8)</f>
        <v>5681.76</v>
      </c>
      <c r="AA9" s="26">
        <f>Modelldaten!$C$6*Modelldaten!$C$7*(1-Z8*Modelldaten!$C$8)</f>
        <v>5649.84</v>
      </c>
      <c r="AB9" s="26">
        <f>Modelldaten!$C$6*Modelldaten!$C$7*(1-AA8*Modelldaten!$C$8)</f>
        <v>5617.92</v>
      </c>
      <c r="AC9" s="26">
        <f>Modelldaten!$C$6*Modelldaten!$C$7*(1-AB8*Modelldaten!$C$8)</f>
        <v>5586</v>
      </c>
      <c r="AD9" s="26">
        <f>Modelldaten!$C$6*Modelldaten!$C$7*(1-AC8*Modelldaten!$C$8)</f>
        <v>5554.08</v>
      </c>
      <c r="AE9" s="26">
        <f>Modelldaten!$C$6*Modelldaten!$C$7*(1-AD8*Modelldaten!$C$8)</f>
        <v>5522.16</v>
      </c>
      <c r="AF9" s="26">
        <f>Modelldaten!$C$6*Modelldaten!$C$7*(1-AE8*Modelldaten!$C$8)</f>
        <v>5490.24</v>
      </c>
      <c r="AG9" s="26">
        <f>Modelldaten!$C$6*Modelldaten!$C$7*(1-AF8*Modelldaten!$C$8)</f>
        <v>5458.32</v>
      </c>
      <c r="AH9" s="28">
        <f>SUM(C9:AG9)</f>
        <v>182103.6</v>
      </c>
      <c r="AI9" s="4"/>
      <c r="AJ9" s="4"/>
      <c r="AK9" s="4"/>
      <c r="AL9" s="5"/>
    </row>
    <row r="10" spans="1:38" ht="15.6">
      <c r="A10" s="22" t="s">
        <v>40</v>
      </c>
      <c r="B10" s="23" t="s">
        <v>39</v>
      </c>
      <c r="C10" s="26">
        <f>C9*Modelldaten!$C$13</f>
        <v>1117.2</v>
      </c>
      <c r="D10" s="26">
        <f>D9*Modelldaten!$C$13</f>
        <v>1596</v>
      </c>
      <c r="E10" s="26">
        <f>E9*Modelldaten!$C$13</f>
        <v>1588.02</v>
      </c>
      <c r="F10" s="26">
        <f>F9*Modelldaten!$C$13</f>
        <v>1580.04</v>
      </c>
      <c r="G10" s="26">
        <f>G9*Modelldaten!$C$13</f>
        <v>1572.06</v>
      </c>
      <c r="H10" s="26">
        <f>H9*Modelldaten!$C$13</f>
        <v>1564.08</v>
      </c>
      <c r="I10" s="26">
        <f>I9*Modelldaten!$C$13</f>
        <v>1556.1</v>
      </c>
      <c r="J10" s="26">
        <f>J9*Modelldaten!$C$13</f>
        <v>1548.12</v>
      </c>
      <c r="K10" s="26">
        <f>K9*Modelldaten!$C$13</f>
        <v>1540.1399999999999</v>
      </c>
      <c r="L10" s="26">
        <f>L9*Modelldaten!$C$13</f>
        <v>1532.1599999999999</v>
      </c>
      <c r="M10" s="26">
        <f>M9*Modelldaten!$C$13</f>
        <v>1524.1799999999998</v>
      </c>
      <c r="N10" s="26">
        <f>N9*Modelldaten!$C$13</f>
        <v>1516.1999999999998</v>
      </c>
      <c r="O10" s="26">
        <f>O9*Modelldaten!$C$13</f>
        <v>1508.22</v>
      </c>
      <c r="P10" s="26">
        <f>P9*Modelldaten!$C$13</f>
        <v>1500.24</v>
      </c>
      <c r="Q10" s="26">
        <f>Q9*Modelldaten!$C$13</f>
        <v>1492.26</v>
      </c>
      <c r="R10" s="26">
        <f>R9*Modelldaten!$C$13</f>
        <v>1484.28</v>
      </c>
      <c r="S10" s="26">
        <f>S9*Modelldaten!$C$13</f>
        <v>1476.3000000000002</v>
      </c>
      <c r="T10" s="26">
        <f>T9*Modelldaten!$C$13</f>
        <v>1468.3200000000002</v>
      </c>
      <c r="U10" s="26">
        <f>U9*Modelldaten!$C$13</f>
        <v>1460.3400000000001</v>
      </c>
      <c r="V10" s="26">
        <f>V9*Modelldaten!$C$13</f>
        <v>1452.3600000000001</v>
      </c>
      <c r="W10" s="26">
        <f>W9*Modelldaten!$C$13</f>
        <v>1444.38</v>
      </c>
      <c r="X10" s="26">
        <f>X9*Modelldaten!$C$13</f>
        <v>1436.4</v>
      </c>
      <c r="Y10" s="26">
        <f>Y9*Modelldaten!$C$13</f>
        <v>1428.42</v>
      </c>
      <c r="Z10" s="26">
        <f>Z9*Modelldaten!$C$13</f>
        <v>1420.44</v>
      </c>
      <c r="AA10" s="26">
        <f>AA9*Modelldaten!$C$13</f>
        <v>1412.46</v>
      </c>
      <c r="AB10" s="26">
        <f>AB9*Modelldaten!$C$13</f>
        <v>1404.48</v>
      </c>
      <c r="AC10" s="26">
        <f>AC9*Modelldaten!$C$13</f>
        <v>1396.5</v>
      </c>
      <c r="AD10" s="26">
        <f>AD9*Modelldaten!$C$13</f>
        <v>1388.52</v>
      </c>
      <c r="AE10" s="26">
        <f>AE9*Modelldaten!$C$13</f>
        <v>1380.54</v>
      </c>
      <c r="AF10" s="26">
        <f>AF9*Modelldaten!$C$13</f>
        <v>1372.56</v>
      </c>
      <c r="AG10" s="26">
        <f>AG9*Modelldaten!$C$13</f>
        <v>1364.58</v>
      </c>
      <c r="AH10" s="28">
        <f>SUM(C10:AG10)</f>
        <v>45525.9</v>
      </c>
      <c r="AI10" s="4"/>
      <c r="AJ10" s="4"/>
      <c r="AK10" s="4"/>
      <c r="AL10" s="5"/>
    </row>
    <row r="11" spans="1:38" ht="15.6">
      <c r="A11" s="22" t="s">
        <v>41</v>
      </c>
      <c r="B11" s="23" t="s">
        <v>39</v>
      </c>
      <c r="C11" s="26">
        <f>C9-C10</f>
        <v>3351.6000000000004</v>
      </c>
      <c r="D11" s="26">
        <f t="shared" ref="D11:AF11" si="0">D9-D10</f>
        <v>4788</v>
      </c>
      <c r="E11" s="26">
        <f t="shared" si="0"/>
        <v>4764.0599999999995</v>
      </c>
      <c r="F11" s="26">
        <f t="shared" si="0"/>
        <v>4740.12</v>
      </c>
      <c r="G11" s="26">
        <f t="shared" si="0"/>
        <v>4716.18</v>
      </c>
      <c r="H11" s="26">
        <f t="shared" si="0"/>
        <v>4692.24</v>
      </c>
      <c r="I11" s="26">
        <f t="shared" si="0"/>
        <v>4668.2999999999993</v>
      </c>
      <c r="J11" s="26">
        <f t="shared" si="0"/>
        <v>4644.3599999999997</v>
      </c>
      <c r="K11" s="26">
        <f t="shared" si="0"/>
        <v>4620.42</v>
      </c>
      <c r="L11" s="26">
        <f t="shared" si="0"/>
        <v>4596.4799999999996</v>
      </c>
      <c r="M11" s="26">
        <f t="shared" si="0"/>
        <v>4572.5399999999991</v>
      </c>
      <c r="N11" s="26">
        <f t="shared" si="0"/>
        <v>4548.5999999999995</v>
      </c>
      <c r="O11" s="26">
        <f t="shared" si="0"/>
        <v>4524.66</v>
      </c>
      <c r="P11" s="26">
        <f t="shared" si="0"/>
        <v>4500.72</v>
      </c>
      <c r="Q11" s="26">
        <f t="shared" si="0"/>
        <v>4476.78</v>
      </c>
      <c r="R11" s="26">
        <f t="shared" si="0"/>
        <v>4452.84</v>
      </c>
      <c r="S11" s="26">
        <f t="shared" si="0"/>
        <v>4428.9000000000005</v>
      </c>
      <c r="T11" s="26">
        <f t="shared" si="0"/>
        <v>4404.9600000000009</v>
      </c>
      <c r="U11" s="26">
        <f t="shared" si="0"/>
        <v>4381.0200000000004</v>
      </c>
      <c r="V11" s="26">
        <f t="shared" si="0"/>
        <v>4357.08</v>
      </c>
      <c r="W11" s="26">
        <f t="shared" si="0"/>
        <v>4333.1400000000003</v>
      </c>
      <c r="X11" s="26">
        <f t="shared" si="0"/>
        <v>4309.2000000000007</v>
      </c>
      <c r="Y11" s="26">
        <f t="shared" si="0"/>
        <v>4285.26</v>
      </c>
      <c r="Z11" s="26">
        <f t="shared" si="0"/>
        <v>4261.32</v>
      </c>
      <c r="AA11" s="26">
        <f t="shared" si="0"/>
        <v>4237.38</v>
      </c>
      <c r="AB11" s="26">
        <f t="shared" si="0"/>
        <v>4213.4400000000005</v>
      </c>
      <c r="AC11" s="26">
        <f t="shared" si="0"/>
        <v>4189.5</v>
      </c>
      <c r="AD11" s="26">
        <f t="shared" si="0"/>
        <v>4165.5599999999995</v>
      </c>
      <c r="AE11" s="26">
        <f t="shared" si="0"/>
        <v>4141.62</v>
      </c>
      <c r="AF11" s="26">
        <f t="shared" si="0"/>
        <v>4117.68</v>
      </c>
      <c r="AG11" s="26">
        <f>AG9-AG10</f>
        <v>4093.74</v>
      </c>
      <c r="AH11" s="28">
        <f>SUM(C11:AG11)</f>
        <v>136577.69999999998</v>
      </c>
      <c r="AI11" s="4"/>
      <c r="AJ11" s="4"/>
      <c r="AK11" s="4"/>
      <c r="AL11" s="5"/>
    </row>
    <row r="12" spans="1:38" ht="15.6">
      <c r="A12" s="22" t="s">
        <v>42</v>
      </c>
      <c r="B12" s="23" t="s">
        <v>5</v>
      </c>
      <c r="C12" s="26">
        <f>C9/Modelldaten!$C$6</f>
        <v>665</v>
      </c>
      <c r="D12" s="26">
        <f>D9/Modelldaten!$C$6</f>
        <v>950</v>
      </c>
      <c r="E12" s="26">
        <f>E9/Modelldaten!$C$6</f>
        <v>945.25</v>
      </c>
      <c r="F12" s="26">
        <f>F9/Modelldaten!$C$6</f>
        <v>940.5</v>
      </c>
      <c r="G12" s="26">
        <f>G9/Modelldaten!$C$6</f>
        <v>935.75</v>
      </c>
      <c r="H12" s="26">
        <f>H9/Modelldaten!$C$6</f>
        <v>931</v>
      </c>
      <c r="I12" s="26">
        <f>I9/Modelldaten!$C$6</f>
        <v>926.25</v>
      </c>
      <c r="J12" s="26">
        <f>J9/Modelldaten!$C$6</f>
        <v>921.5</v>
      </c>
      <c r="K12" s="26">
        <f>K9/Modelldaten!$C$6</f>
        <v>916.75</v>
      </c>
      <c r="L12" s="26">
        <f>L9/Modelldaten!$C$6</f>
        <v>912</v>
      </c>
      <c r="M12" s="26">
        <f>M9/Modelldaten!$C$6</f>
        <v>907.24999999999989</v>
      </c>
      <c r="N12" s="26">
        <f>N9/Modelldaten!$C$6</f>
        <v>902.49999999999989</v>
      </c>
      <c r="O12" s="26">
        <f>O9/Modelldaten!$C$6</f>
        <v>897.75</v>
      </c>
      <c r="P12" s="26">
        <f>P9/Modelldaten!$C$6</f>
        <v>893</v>
      </c>
      <c r="Q12" s="26">
        <f>Q9/Modelldaten!$C$6</f>
        <v>888.25</v>
      </c>
      <c r="R12" s="26">
        <f>R9/Modelldaten!$C$6</f>
        <v>883.5</v>
      </c>
      <c r="S12" s="26">
        <f>S9/Modelldaten!$C$6</f>
        <v>878.75000000000011</v>
      </c>
      <c r="T12" s="26">
        <f>T9/Modelldaten!$C$6</f>
        <v>874.00000000000011</v>
      </c>
      <c r="U12" s="26">
        <f>U9/Modelldaten!$C$6</f>
        <v>869.25000000000011</v>
      </c>
      <c r="V12" s="26">
        <f>V9/Modelldaten!$C$6</f>
        <v>864.50000000000011</v>
      </c>
      <c r="W12" s="26">
        <f>W9/Modelldaten!$C$6</f>
        <v>859.75000000000011</v>
      </c>
      <c r="X12" s="26">
        <f>X9/Modelldaten!$C$6</f>
        <v>855.00000000000011</v>
      </c>
      <c r="Y12" s="26">
        <f>Y9/Modelldaten!$C$6</f>
        <v>850.25000000000011</v>
      </c>
      <c r="Z12" s="26">
        <f>Z9/Modelldaten!$C$6</f>
        <v>845.50000000000011</v>
      </c>
      <c r="AA12" s="26">
        <f>AA9/Modelldaten!$C$6</f>
        <v>840.75</v>
      </c>
      <c r="AB12" s="26">
        <f>AB9/Modelldaten!$C$6</f>
        <v>836</v>
      </c>
      <c r="AC12" s="26">
        <f>AC9/Modelldaten!$C$6</f>
        <v>831.25</v>
      </c>
      <c r="AD12" s="26">
        <f>AD9/Modelldaten!$C$6</f>
        <v>826.5</v>
      </c>
      <c r="AE12" s="26">
        <f>AE9/Modelldaten!$C$6</f>
        <v>821.75</v>
      </c>
      <c r="AF12" s="26">
        <f>AF9/Modelldaten!$C$6</f>
        <v>817</v>
      </c>
      <c r="AG12" s="26">
        <f>AG9/Modelldaten!$C$6</f>
        <v>812.25</v>
      </c>
      <c r="AH12" s="25"/>
      <c r="AI12" s="4"/>
      <c r="AJ12" s="4"/>
      <c r="AK12" s="4"/>
      <c r="AL12" s="5"/>
    </row>
    <row r="13" spans="1:38" ht="15.6">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5"/>
      <c r="AI13" s="4"/>
      <c r="AJ13" s="4"/>
      <c r="AK13" s="4"/>
      <c r="AL13" s="5"/>
    </row>
    <row r="14" spans="1:38" ht="15.6">
      <c r="A14" s="22" t="s">
        <v>43</v>
      </c>
      <c r="B14" s="23" t="s">
        <v>14</v>
      </c>
      <c r="C14" s="29">
        <f>Modelldaten!$C$11</f>
        <v>0.34899999999999998</v>
      </c>
      <c r="D14" s="29">
        <f>Modelldaten!$C$11*(1+Modelldaten!$C$12)^D8</f>
        <v>0.35947000000000001</v>
      </c>
      <c r="E14" s="29">
        <f>Modelldaten!$C$11*(1+Modelldaten!$C$12)^E8</f>
        <v>0.37025409999999997</v>
      </c>
      <c r="F14" s="29">
        <f>Modelldaten!$C$11*(1+Modelldaten!$C$12)^F8</f>
        <v>0.38136172299999999</v>
      </c>
      <c r="G14" s="29">
        <f>Modelldaten!$C$11*(1+Modelldaten!$C$12)^G8</f>
        <v>0.39280257468999996</v>
      </c>
      <c r="H14" s="29">
        <f>Modelldaten!$C$11*(1+Modelldaten!$C$12)^H8</f>
        <v>0.40458665193069993</v>
      </c>
      <c r="I14" s="29">
        <f>Modelldaten!$C$11*(1+Modelldaten!$C$12)^I8</f>
        <v>0.41672425148862097</v>
      </c>
      <c r="J14" s="29">
        <f>Modelldaten!$C$11*(1+Modelldaten!$C$12)^J8</f>
        <v>0.42922597903327958</v>
      </c>
      <c r="K14" s="29">
        <f>Modelldaten!$C$11*(1+Modelldaten!$C$12)^K8</f>
        <v>0.44210275840427793</v>
      </c>
      <c r="L14" s="29">
        <f>Modelldaten!$C$11*(1+Modelldaten!$C$12)^L8</f>
        <v>0.45536584115640627</v>
      </c>
      <c r="M14" s="29">
        <f>Modelldaten!$C$11*(1+Modelldaten!$C$12)^M8</f>
        <v>0.46902681639109844</v>
      </c>
      <c r="N14" s="29">
        <f>Modelldaten!$C$11*(1+Modelldaten!$C$12)^N8</f>
        <v>0.48309762088283142</v>
      </c>
      <c r="O14" s="29">
        <f>Modelldaten!$C$11*(1+Modelldaten!$C$12)^O8</f>
        <v>0.4975905495093163</v>
      </c>
      <c r="P14" s="29">
        <f>Modelldaten!$C$11*(1+Modelldaten!$C$12)^P8</f>
        <v>0.51251826599459582</v>
      </c>
      <c r="Q14" s="29">
        <f>Modelldaten!$C$11*(1+Modelldaten!$C$12)^Q8</f>
        <v>0.52789381397443369</v>
      </c>
      <c r="R14" s="29">
        <f>Modelldaten!$C$11*(1+Modelldaten!$C$12)^R8</f>
        <v>0.5437306283936667</v>
      </c>
      <c r="S14" s="29">
        <f>Modelldaten!$C$11*(1+Modelldaten!$C$12)^S8</f>
        <v>0.56004254724547664</v>
      </c>
      <c r="T14" s="29">
        <f>Modelldaten!$C$11*(1+Modelldaten!$C$12)^T8</f>
        <v>0.57684382366284093</v>
      </c>
      <c r="U14" s="29">
        <f>Modelldaten!$C$11*(1+Modelldaten!$C$12)^U8</f>
        <v>0.5941491383727262</v>
      </c>
      <c r="V14" s="29">
        <f>Modelldaten!$C$11*(1+Modelldaten!$C$12)^V8</f>
        <v>0.61197361252390792</v>
      </c>
      <c r="W14" s="29">
        <f>Modelldaten!$C$11*(1+Modelldaten!$C$12)^W8</f>
        <v>0.63033282089962517</v>
      </c>
      <c r="X14" s="29">
        <f>Modelldaten!$C$11*(1+Modelldaten!$C$12)^X8</f>
        <v>0.64924280552661384</v>
      </c>
      <c r="Y14" s="29">
        <f>Modelldaten!$C$11*(1+Modelldaten!$C$12)^Y8</f>
        <v>0.66872008969241237</v>
      </c>
      <c r="Z14" s="29">
        <f>Modelldaten!$C$11*(1+Modelldaten!$C$12)^Z8</f>
        <v>0.68878169238318476</v>
      </c>
      <c r="AA14" s="29">
        <f>Modelldaten!$C$11*(1+Modelldaten!$C$12)^AA8</f>
        <v>0.70944514315468021</v>
      </c>
      <c r="AB14" s="29">
        <f>Modelldaten!$C$11*(1+Modelldaten!$C$12)^AB8</f>
        <v>0.73072849744932056</v>
      </c>
      <c r="AC14" s="29">
        <f>Modelldaten!$C$11*(1+Modelldaten!$C$12)^AC8</f>
        <v>0.75265035237280031</v>
      </c>
      <c r="AD14" s="29">
        <f>Modelldaten!$C$11*(1+Modelldaten!$C$12)^AD8</f>
        <v>0.77522986294398422</v>
      </c>
      <c r="AE14" s="29">
        <f>Modelldaten!$C$11*(1+Modelldaten!$C$12)^AE8</f>
        <v>0.7984867588323038</v>
      </c>
      <c r="AF14" s="29">
        <f>Modelldaten!$C$11*(1+Modelldaten!$C$12)^AF8</f>
        <v>0.82244136159727277</v>
      </c>
      <c r="AG14" s="29">
        <f>Modelldaten!$C$11*(1+Modelldaten!$C$12)^AG8</f>
        <v>0.84711460244519099</v>
      </c>
      <c r="AH14" s="25"/>
      <c r="AI14" s="4"/>
      <c r="AJ14" s="4"/>
      <c r="AK14" s="4"/>
      <c r="AL14" s="5"/>
    </row>
    <row r="15" spans="1:38" ht="15.6">
      <c r="A15" s="22" t="s">
        <v>44</v>
      </c>
      <c r="B15" s="23" t="s">
        <v>14</v>
      </c>
      <c r="C15" s="29">
        <f>Modelldaten!$C$10</f>
        <v>8.1199999999999994E-2</v>
      </c>
      <c r="D15" s="29">
        <f>Modelldaten!$C$10</f>
        <v>8.1199999999999994E-2</v>
      </c>
      <c r="E15" s="29">
        <f>Modelldaten!$C$10</f>
        <v>8.1199999999999994E-2</v>
      </c>
      <c r="F15" s="29">
        <f>Modelldaten!$C$10</f>
        <v>8.1199999999999994E-2</v>
      </c>
      <c r="G15" s="29">
        <f>Modelldaten!$C$10</f>
        <v>8.1199999999999994E-2</v>
      </c>
      <c r="H15" s="29">
        <f>Modelldaten!$C$10</f>
        <v>8.1199999999999994E-2</v>
      </c>
      <c r="I15" s="29">
        <f>Modelldaten!$C$10</f>
        <v>8.1199999999999994E-2</v>
      </c>
      <c r="J15" s="29">
        <f>Modelldaten!$C$10</f>
        <v>8.1199999999999994E-2</v>
      </c>
      <c r="K15" s="29">
        <f>Modelldaten!$C$10</f>
        <v>8.1199999999999994E-2</v>
      </c>
      <c r="L15" s="29">
        <f>Modelldaten!$C$10</f>
        <v>8.1199999999999994E-2</v>
      </c>
      <c r="M15" s="29">
        <f>Modelldaten!$C$10</f>
        <v>8.1199999999999994E-2</v>
      </c>
      <c r="N15" s="29">
        <f>Modelldaten!$C$10</f>
        <v>8.1199999999999994E-2</v>
      </c>
      <c r="O15" s="29">
        <f>Modelldaten!$C$10</f>
        <v>8.1199999999999994E-2</v>
      </c>
      <c r="P15" s="29">
        <f>Modelldaten!$C$10</f>
        <v>8.1199999999999994E-2</v>
      </c>
      <c r="Q15" s="29">
        <f>Modelldaten!$C$10</f>
        <v>8.1199999999999994E-2</v>
      </c>
      <c r="R15" s="29">
        <f>Modelldaten!$C$10</f>
        <v>8.1199999999999994E-2</v>
      </c>
      <c r="S15" s="29">
        <f>Modelldaten!$C$10</f>
        <v>8.1199999999999994E-2</v>
      </c>
      <c r="T15" s="29">
        <f>Modelldaten!$C$10</f>
        <v>8.1199999999999994E-2</v>
      </c>
      <c r="U15" s="29">
        <f>Modelldaten!$C$10</f>
        <v>8.1199999999999994E-2</v>
      </c>
      <c r="V15" s="29">
        <f>Modelldaten!$C$10</f>
        <v>8.1199999999999994E-2</v>
      </c>
      <c r="W15" s="29">
        <f>Modelldaten!$C$10</f>
        <v>8.1199999999999994E-2</v>
      </c>
      <c r="X15" s="30">
        <v>0</v>
      </c>
      <c r="Y15" s="30">
        <v>0</v>
      </c>
      <c r="Z15" s="30">
        <v>0</v>
      </c>
      <c r="AA15" s="30">
        <v>0</v>
      </c>
      <c r="AB15" s="30">
        <v>0</v>
      </c>
      <c r="AC15" s="30">
        <v>0</v>
      </c>
      <c r="AD15" s="30">
        <v>0</v>
      </c>
      <c r="AE15" s="30">
        <v>0</v>
      </c>
      <c r="AF15" s="30">
        <v>0</v>
      </c>
      <c r="AG15" s="30">
        <v>0</v>
      </c>
      <c r="AH15" s="25"/>
      <c r="AI15" s="4"/>
      <c r="AJ15" s="4"/>
      <c r="AK15" s="4"/>
      <c r="AL15" s="5"/>
    </row>
    <row r="16" spans="1:38" ht="15.6">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31"/>
      <c r="AI16" s="4"/>
      <c r="AJ16" s="4"/>
      <c r="AK16" s="4"/>
      <c r="AL16" s="5"/>
    </row>
    <row r="17" spans="1:38" ht="15.6">
      <c r="A17" s="27" t="s">
        <v>45</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31"/>
      <c r="AI17" s="4"/>
      <c r="AJ17" s="4"/>
      <c r="AK17" s="4"/>
      <c r="AL17" s="5"/>
    </row>
    <row r="18" spans="1:38" ht="15.6">
      <c r="A18" s="22" t="s">
        <v>46</v>
      </c>
      <c r="B18" s="23" t="s">
        <v>14</v>
      </c>
      <c r="C18" s="30">
        <f>C10*C14</f>
        <v>389.90280000000001</v>
      </c>
      <c r="D18" s="30">
        <f t="shared" ref="D18:AG19" si="1">D10*D14</f>
        <v>573.71411999999998</v>
      </c>
      <c r="E18" s="30">
        <f t="shared" si="1"/>
        <v>587.97091588199999</v>
      </c>
      <c r="F18" s="30">
        <f t="shared" si="1"/>
        <v>602.56677680891994</v>
      </c>
      <c r="G18" s="30">
        <f t="shared" si="1"/>
        <v>617.50921556716128</v>
      </c>
      <c r="H18" s="30">
        <f t="shared" si="1"/>
        <v>632.80589055176915</v>
      </c>
      <c r="I18" s="30">
        <f t="shared" si="1"/>
        <v>648.46460774144305</v>
      </c>
      <c r="J18" s="30">
        <f t="shared" si="1"/>
        <v>664.49332266100078</v>
      </c>
      <c r="K18" s="30">
        <f t="shared" si="1"/>
        <v>680.90014232876456</v>
      </c>
      <c r="L18" s="30">
        <f t="shared" si="1"/>
        <v>697.69332718619933</v>
      </c>
      <c r="M18" s="30">
        <f t="shared" si="1"/>
        <v>714.88129300698438</v>
      </c>
      <c r="N18" s="30">
        <f t="shared" si="1"/>
        <v>732.47261278254894</v>
      </c>
      <c r="O18" s="30">
        <f t="shared" si="1"/>
        <v>750.47601858094106</v>
      </c>
      <c r="P18" s="30">
        <f t="shared" si="1"/>
        <v>768.90040337573248</v>
      </c>
      <c r="Q18" s="30">
        <f t="shared" si="1"/>
        <v>787.75482284148836</v>
      </c>
      <c r="R18" s="30">
        <f t="shared" si="1"/>
        <v>807.04849711215161</v>
      </c>
      <c r="S18" s="30">
        <f t="shared" si="1"/>
        <v>826.7908124984973</v>
      </c>
      <c r="T18" s="30">
        <f t="shared" si="1"/>
        <v>846.99132316062264</v>
      </c>
      <c r="U18" s="30">
        <f t="shared" si="1"/>
        <v>867.65975273122706</v>
      </c>
      <c r="V18" s="30">
        <f t="shared" si="1"/>
        <v>888.80599588522296</v>
      </c>
      <c r="W18" s="30">
        <f t="shared" si="1"/>
        <v>910.44011985100065</v>
      </c>
      <c r="X18" s="30">
        <f t="shared" si="1"/>
        <v>932.57236585842816</v>
      </c>
      <c r="Y18" s="30">
        <f t="shared" si="1"/>
        <v>955.21315051843567</v>
      </c>
      <c r="Z18" s="30">
        <f t="shared" si="1"/>
        <v>978.37306712877103</v>
      </c>
      <c r="AA18" s="30">
        <f t="shared" si="1"/>
        <v>1002.0628869002596</v>
      </c>
      <c r="AB18" s="30">
        <f t="shared" si="1"/>
        <v>1026.2935600976218</v>
      </c>
      <c r="AC18" s="30">
        <f t="shared" si="1"/>
        <v>1051.0762170886157</v>
      </c>
      <c r="AD18" s="30">
        <f t="shared" si="1"/>
        <v>1076.4221692949809</v>
      </c>
      <c r="AE18" s="30">
        <f t="shared" si="1"/>
        <v>1102.3429100383487</v>
      </c>
      <c r="AF18" s="30">
        <f t="shared" si="1"/>
        <v>1128.8501152739527</v>
      </c>
      <c r="AG18" s="30">
        <f t="shared" si="1"/>
        <v>1155.9556442046587</v>
      </c>
      <c r="AH18" s="31">
        <f>SUM(C18:AG18)</f>
        <v>25407.40485695775</v>
      </c>
      <c r="AI18" s="4"/>
      <c r="AJ18" s="4"/>
      <c r="AK18" s="4"/>
      <c r="AL18" s="5"/>
    </row>
    <row r="19" spans="1:38" ht="15.6">
      <c r="A19" s="22" t="s">
        <v>47</v>
      </c>
      <c r="B19" s="23" t="s">
        <v>14</v>
      </c>
      <c r="C19" s="30">
        <f>C11*C15</f>
        <v>272.14992000000001</v>
      </c>
      <c r="D19" s="30">
        <f t="shared" si="1"/>
        <v>388.78559999999999</v>
      </c>
      <c r="E19" s="30">
        <f t="shared" si="1"/>
        <v>386.84167199999996</v>
      </c>
      <c r="F19" s="30">
        <f t="shared" si="1"/>
        <v>384.89774399999999</v>
      </c>
      <c r="G19" s="30">
        <f t="shared" si="1"/>
        <v>382.95381600000002</v>
      </c>
      <c r="H19" s="30">
        <f t="shared" si="1"/>
        <v>381.00988799999993</v>
      </c>
      <c r="I19" s="30">
        <f t="shared" si="1"/>
        <v>379.0659599999999</v>
      </c>
      <c r="J19" s="30">
        <f t="shared" si="1"/>
        <v>377.12203199999993</v>
      </c>
      <c r="K19" s="30">
        <f t="shared" si="1"/>
        <v>375.17810399999996</v>
      </c>
      <c r="L19" s="30">
        <f t="shared" si="1"/>
        <v>373.23417599999993</v>
      </c>
      <c r="M19" s="30">
        <f t="shared" si="1"/>
        <v>371.29024799999991</v>
      </c>
      <c r="N19" s="30">
        <f t="shared" si="1"/>
        <v>369.34631999999993</v>
      </c>
      <c r="O19" s="30">
        <f t="shared" si="1"/>
        <v>367.40239199999996</v>
      </c>
      <c r="P19" s="30">
        <f t="shared" si="1"/>
        <v>365.45846399999999</v>
      </c>
      <c r="Q19" s="30">
        <f t="shared" si="1"/>
        <v>363.51453599999996</v>
      </c>
      <c r="R19" s="30">
        <f t="shared" si="1"/>
        <v>361.57060799999999</v>
      </c>
      <c r="S19" s="30">
        <f t="shared" si="1"/>
        <v>359.62668000000002</v>
      </c>
      <c r="T19" s="30">
        <f t="shared" si="1"/>
        <v>357.68275200000005</v>
      </c>
      <c r="U19" s="30">
        <f t="shared" si="1"/>
        <v>355.73882400000002</v>
      </c>
      <c r="V19" s="30">
        <f t="shared" si="1"/>
        <v>353.79489599999999</v>
      </c>
      <c r="W19" s="30">
        <f t="shared" si="1"/>
        <v>351.85096800000002</v>
      </c>
      <c r="X19" s="30">
        <f t="shared" si="1"/>
        <v>0</v>
      </c>
      <c r="Y19" s="30">
        <f t="shared" si="1"/>
        <v>0</v>
      </c>
      <c r="Z19" s="30">
        <f t="shared" si="1"/>
        <v>0</v>
      </c>
      <c r="AA19" s="30">
        <f t="shared" si="1"/>
        <v>0</v>
      </c>
      <c r="AB19" s="30">
        <f t="shared" si="1"/>
        <v>0</v>
      </c>
      <c r="AC19" s="30">
        <f t="shared" si="1"/>
        <v>0</v>
      </c>
      <c r="AD19" s="30">
        <f t="shared" si="1"/>
        <v>0</v>
      </c>
      <c r="AE19" s="30">
        <f t="shared" si="1"/>
        <v>0</v>
      </c>
      <c r="AF19" s="30">
        <f t="shared" si="1"/>
        <v>0</v>
      </c>
      <c r="AG19" s="30">
        <f t="shared" si="1"/>
        <v>0</v>
      </c>
      <c r="AH19" s="31">
        <f>SUM(C19:AG19)</f>
        <v>7678.5155999999988</v>
      </c>
      <c r="AI19" s="4"/>
      <c r="AJ19" s="4"/>
      <c r="AK19" s="4"/>
      <c r="AL19" s="5"/>
    </row>
    <row r="20" spans="1:38" ht="15.6">
      <c r="A20" s="22" t="s">
        <v>48</v>
      </c>
      <c r="B20" s="23" t="s">
        <v>14</v>
      </c>
      <c r="C20" s="30">
        <f t="shared" ref="C20:AG20" si="2">SUM(C18:C19)</f>
        <v>662.05272000000002</v>
      </c>
      <c r="D20" s="30">
        <f t="shared" si="2"/>
        <v>962.49972000000002</v>
      </c>
      <c r="E20" s="30">
        <f t="shared" si="2"/>
        <v>974.81258788199989</v>
      </c>
      <c r="F20" s="30">
        <f t="shared" si="2"/>
        <v>987.46452080891993</v>
      </c>
      <c r="G20" s="30">
        <f t="shared" si="2"/>
        <v>1000.4630315671614</v>
      </c>
      <c r="H20" s="30">
        <f t="shared" si="2"/>
        <v>1013.8157785517691</v>
      </c>
      <c r="I20" s="30">
        <f t="shared" si="2"/>
        <v>1027.5305677414431</v>
      </c>
      <c r="J20" s="30">
        <f t="shared" si="2"/>
        <v>1041.6153546610008</v>
      </c>
      <c r="K20" s="30">
        <f t="shared" si="2"/>
        <v>1056.0782463287646</v>
      </c>
      <c r="L20" s="30">
        <f t="shared" si="2"/>
        <v>1070.9275031861994</v>
      </c>
      <c r="M20" s="30">
        <f t="shared" si="2"/>
        <v>1086.1715410069842</v>
      </c>
      <c r="N20" s="30">
        <f t="shared" si="2"/>
        <v>1101.8189327825489</v>
      </c>
      <c r="O20" s="30">
        <f t="shared" si="2"/>
        <v>1117.8784105809409</v>
      </c>
      <c r="P20" s="30">
        <f t="shared" si="2"/>
        <v>1134.3588673757324</v>
      </c>
      <c r="Q20" s="30">
        <f t="shared" si="2"/>
        <v>1151.2693588414884</v>
      </c>
      <c r="R20" s="30">
        <f t="shared" si="2"/>
        <v>1168.6191051121516</v>
      </c>
      <c r="S20" s="30">
        <f t="shared" si="2"/>
        <v>1186.4174924984973</v>
      </c>
      <c r="T20" s="30">
        <f t="shared" si="2"/>
        <v>1204.6740751606226</v>
      </c>
      <c r="U20" s="30">
        <f t="shared" si="2"/>
        <v>1223.398576731227</v>
      </c>
      <c r="V20" s="30">
        <f t="shared" si="2"/>
        <v>1242.6008918852231</v>
      </c>
      <c r="W20" s="30">
        <f t="shared" si="2"/>
        <v>1262.2910878510006</v>
      </c>
      <c r="X20" s="30">
        <f t="shared" si="2"/>
        <v>932.57236585842816</v>
      </c>
      <c r="Y20" s="30">
        <f t="shared" si="2"/>
        <v>955.21315051843567</v>
      </c>
      <c r="Z20" s="30">
        <f t="shared" si="2"/>
        <v>978.37306712877103</v>
      </c>
      <c r="AA20" s="30">
        <f t="shared" si="2"/>
        <v>1002.0628869002596</v>
      </c>
      <c r="AB20" s="30">
        <f t="shared" si="2"/>
        <v>1026.2935600976218</v>
      </c>
      <c r="AC20" s="30">
        <f t="shared" si="2"/>
        <v>1051.0762170886157</v>
      </c>
      <c r="AD20" s="30">
        <f t="shared" si="2"/>
        <v>1076.4221692949809</v>
      </c>
      <c r="AE20" s="30">
        <f t="shared" si="2"/>
        <v>1102.3429100383487</v>
      </c>
      <c r="AF20" s="30">
        <f t="shared" si="2"/>
        <v>1128.8501152739527</v>
      </c>
      <c r="AG20" s="30">
        <f t="shared" si="2"/>
        <v>1155.9556442046587</v>
      </c>
      <c r="AH20" s="31">
        <f>SUM(C20:AG20)</f>
        <v>33085.920456957749</v>
      </c>
      <c r="AI20" s="4"/>
      <c r="AJ20" s="4"/>
      <c r="AK20" s="4"/>
      <c r="AL20" s="5"/>
    </row>
    <row r="21" spans="1:38" ht="15.6">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31"/>
      <c r="AI21" s="4"/>
      <c r="AJ21" s="4"/>
      <c r="AK21" s="4"/>
      <c r="AL21" s="5"/>
    </row>
    <row r="22" spans="1:38" ht="15.6">
      <c r="A22" s="27" t="s">
        <v>49</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31"/>
      <c r="AI22" s="4"/>
      <c r="AJ22" s="4"/>
      <c r="AK22" s="4"/>
      <c r="AL22" s="5"/>
    </row>
    <row r="23" spans="1:38" ht="15.6">
      <c r="A23" s="22" t="s">
        <v>50</v>
      </c>
      <c r="B23" s="23" t="s">
        <v>14</v>
      </c>
      <c r="C23" s="30">
        <v>0</v>
      </c>
      <c r="D23" s="30">
        <f>C31*Modelldaten!$C$24</f>
        <v>0</v>
      </c>
      <c r="E23" s="30">
        <f>D31*Modelldaten!$C$24</f>
        <v>0</v>
      </c>
      <c r="F23" s="30">
        <f>E31*Modelldaten!$C$24</f>
        <v>0</v>
      </c>
      <c r="G23" s="30">
        <f>F31*Modelldaten!$C$24</f>
        <v>0</v>
      </c>
      <c r="H23" s="30">
        <f>G31*Modelldaten!$C$24</f>
        <v>0</v>
      </c>
      <c r="I23" s="30">
        <f>H31*Modelldaten!$C$24</f>
        <v>0</v>
      </c>
      <c r="J23" s="30">
        <f>I31*Modelldaten!$C$24</f>
        <v>0</v>
      </c>
      <c r="K23" s="30">
        <f>J31*Modelldaten!$C$24</f>
        <v>0</v>
      </c>
      <c r="L23" s="30">
        <f>K31*Modelldaten!$C$24</f>
        <v>0</v>
      </c>
      <c r="M23" s="30">
        <f>L31*Modelldaten!$C$24</f>
        <v>0</v>
      </c>
      <c r="N23" s="30">
        <f>M31*Modelldaten!$C$24</f>
        <v>0</v>
      </c>
      <c r="O23" s="30">
        <f>N31*Modelldaten!$C$24</f>
        <v>0</v>
      </c>
      <c r="P23" s="30">
        <f>O31*Modelldaten!$C$24</f>
        <v>0</v>
      </c>
      <c r="Q23" s="30">
        <f>P31*Modelldaten!$C$24</f>
        <v>0</v>
      </c>
      <c r="R23" s="30">
        <f>Q31*Modelldaten!$C$24</f>
        <v>0</v>
      </c>
      <c r="S23" s="30">
        <f>R31*Modelldaten!$C$24</f>
        <v>0</v>
      </c>
      <c r="T23" s="30">
        <f>S31*Modelldaten!$C$24</f>
        <v>0</v>
      </c>
      <c r="U23" s="30">
        <f>T31*Modelldaten!$C$24</f>
        <v>0</v>
      </c>
      <c r="V23" s="30">
        <f>U31*Modelldaten!$C$24</f>
        <v>0</v>
      </c>
      <c r="W23" s="30">
        <f>V31*Modelldaten!$C$24</f>
        <v>0</v>
      </c>
      <c r="X23" s="30">
        <f>W31*Modelldaten!$C$24</f>
        <v>0</v>
      </c>
      <c r="Y23" s="30">
        <f>X31*Modelldaten!$C$24</f>
        <v>0</v>
      </c>
      <c r="Z23" s="30">
        <f>Y31*Modelldaten!$C$24</f>
        <v>0</v>
      </c>
      <c r="AA23" s="30">
        <f>Z31*Modelldaten!$C$24</f>
        <v>0</v>
      </c>
      <c r="AB23" s="30">
        <f>AA31*Modelldaten!$C$24</f>
        <v>0</v>
      </c>
      <c r="AC23" s="30">
        <f>AB31*Modelldaten!$C$24</f>
        <v>0</v>
      </c>
      <c r="AD23" s="30">
        <f>AC31*Modelldaten!$C$24</f>
        <v>0</v>
      </c>
      <c r="AE23" s="30">
        <f>AD31*Modelldaten!$C$24</f>
        <v>0</v>
      </c>
      <c r="AF23" s="30">
        <f>AE31*Modelldaten!$C$24</f>
        <v>0</v>
      </c>
      <c r="AG23" s="30">
        <f>AF31*Modelldaten!$C$24</f>
        <v>0</v>
      </c>
      <c r="AH23" s="31">
        <f t="shared" ref="AH23:AH29" si="3">SUM(C23:AG23)</f>
        <v>0</v>
      </c>
      <c r="AI23" s="4"/>
      <c r="AJ23" s="4"/>
      <c r="AK23" s="4"/>
      <c r="AL23" s="5"/>
    </row>
    <row r="24" spans="1:38" ht="15.6">
      <c r="A24" s="22" t="s">
        <v>51</v>
      </c>
      <c r="B24" s="23" t="s">
        <v>14</v>
      </c>
      <c r="C24" s="30">
        <v>0</v>
      </c>
      <c r="D24" s="30">
        <v>0</v>
      </c>
      <c r="E24" s="30">
        <f>Modelldaten!$C$22*Modelldaten!$D$26-E23</f>
        <v>0</v>
      </c>
      <c r="F24" s="30">
        <f>Modelldaten!$C$22*Modelldaten!$D$26-F23</f>
        <v>0</v>
      </c>
      <c r="G24" s="30">
        <f>Modelldaten!$C$22*Modelldaten!$D$26-G23</f>
        <v>0</v>
      </c>
      <c r="H24" s="30">
        <f>Modelldaten!$C$22*Modelldaten!$D$26-H23</f>
        <v>0</v>
      </c>
      <c r="I24" s="30">
        <f>Modelldaten!$C$22*Modelldaten!$D$26-I23</f>
        <v>0</v>
      </c>
      <c r="J24" s="30">
        <f>Modelldaten!$C$22*Modelldaten!$D$26-J23</f>
        <v>0</v>
      </c>
      <c r="K24" s="30">
        <f>Modelldaten!$C$22*Modelldaten!$D$26-K23</f>
        <v>0</v>
      </c>
      <c r="L24" s="30">
        <f>Modelldaten!$C$22*Modelldaten!$D$26-L23</f>
        <v>0</v>
      </c>
      <c r="M24" s="30">
        <f>Modelldaten!$C$22*Modelldaten!$D$26-M23</f>
        <v>0</v>
      </c>
      <c r="N24" s="30">
        <f>Modelldaten!$C$22*Modelldaten!$D$26-N23</f>
        <v>0</v>
      </c>
      <c r="O24" s="30">
        <f>Modelldaten!$C$22*Modelldaten!$D$26-O23</f>
        <v>0</v>
      </c>
      <c r="P24" s="30">
        <f>Modelldaten!$C$22*Modelldaten!$D$26-P23</f>
        <v>0</v>
      </c>
      <c r="Q24" s="30">
        <f>Modelldaten!$C$22*Modelldaten!$D$26-Q23</f>
        <v>0</v>
      </c>
      <c r="R24" s="30">
        <f>Modelldaten!$C$22*Modelldaten!$D$26-R23</f>
        <v>0</v>
      </c>
      <c r="S24" s="30">
        <f>Modelldaten!$C$22*Modelldaten!$D$26-S23</f>
        <v>0</v>
      </c>
      <c r="T24" s="30">
        <f>Modelldaten!$C$22*Modelldaten!$D$26-T23</f>
        <v>0</v>
      </c>
      <c r="U24" s="30">
        <f>Modelldaten!$C$22*Modelldaten!$D$26-U23</f>
        <v>0</v>
      </c>
      <c r="V24" s="30">
        <f>Modelldaten!$C$22*Modelldaten!$D$26-V23</f>
        <v>0</v>
      </c>
      <c r="W24" s="30">
        <f>Modelldaten!$C$22*Modelldaten!$D$26-W23</f>
        <v>0</v>
      </c>
      <c r="X24" s="30">
        <f>Modelldaten!$C$22*Modelldaten!$D$26-X23</f>
        <v>0</v>
      </c>
      <c r="Y24" s="30">
        <f>Modelldaten!$C$22*Modelldaten!$D$26-Y23</f>
        <v>0</v>
      </c>
      <c r="Z24" s="30">
        <f>Modelldaten!$C$22*Modelldaten!$D$26-Z23</f>
        <v>0</v>
      </c>
      <c r="AA24" s="30">
        <f>Modelldaten!$C$22*Modelldaten!$D$26-AA23</f>
        <v>0</v>
      </c>
      <c r="AB24" s="30">
        <f>Modelldaten!$C$22*Modelldaten!$D$26-AB23</f>
        <v>0</v>
      </c>
      <c r="AC24" s="30">
        <f>Modelldaten!$C$22*Modelldaten!$D$26-AC23</f>
        <v>0</v>
      </c>
      <c r="AD24" s="30">
        <f>Modelldaten!$C$22*Modelldaten!$D$26-AD23</f>
        <v>0</v>
      </c>
      <c r="AE24" s="30">
        <f>Modelldaten!$C$22*Modelldaten!$D$26-AE23</f>
        <v>0</v>
      </c>
      <c r="AF24" s="30">
        <f>Modelldaten!$C$22*Modelldaten!$D$26-AF23</f>
        <v>0</v>
      </c>
      <c r="AG24" s="30">
        <f>Modelldaten!$C$22*Modelldaten!$D$26-AG23</f>
        <v>0</v>
      </c>
      <c r="AH24" s="31">
        <f t="shared" si="3"/>
        <v>0</v>
      </c>
      <c r="AI24" s="4"/>
      <c r="AJ24" s="4"/>
      <c r="AK24" s="4"/>
      <c r="AL24" s="5"/>
    </row>
    <row r="25" spans="1:38" ht="15.6">
      <c r="A25" s="22" t="s">
        <v>52</v>
      </c>
      <c r="B25" s="23" t="s">
        <v>14</v>
      </c>
      <c r="C25" s="30">
        <f>Modelldaten!$C$30</f>
        <v>20</v>
      </c>
      <c r="D25" s="30">
        <f>Modelldaten!$C$30</f>
        <v>20</v>
      </c>
      <c r="E25" s="30">
        <f>Modelldaten!$C$30</f>
        <v>20</v>
      </c>
      <c r="F25" s="30">
        <f>Modelldaten!$C$30</f>
        <v>20</v>
      </c>
      <c r="G25" s="30">
        <f>Modelldaten!$C$30</f>
        <v>20</v>
      </c>
      <c r="H25" s="30">
        <f>Modelldaten!$C$30</f>
        <v>20</v>
      </c>
      <c r="I25" s="30">
        <f>Modelldaten!$C$30</f>
        <v>20</v>
      </c>
      <c r="J25" s="30">
        <f>Modelldaten!$C$30</f>
        <v>20</v>
      </c>
      <c r="K25" s="30">
        <f>Modelldaten!$C$30</f>
        <v>20</v>
      </c>
      <c r="L25" s="30">
        <f>Modelldaten!$C$30</f>
        <v>20</v>
      </c>
      <c r="M25" s="30">
        <f>Modelldaten!$C$30</f>
        <v>20</v>
      </c>
      <c r="N25" s="30">
        <f>Modelldaten!$C$30</f>
        <v>20</v>
      </c>
      <c r="O25" s="30">
        <f>Modelldaten!$C$30</f>
        <v>20</v>
      </c>
      <c r="P25" s="30">
        <f>Modelldaten!$C$30</f>
        <v>20</v>
      </c>
      <c r="Q25" s="30">
        <f>Modelldaten!$C$30</f>
        <v>20</v>
      </c>
      <c r="R25" s="30">
        <f>Modelldaten!$C$30</f>
        <v>20</v>
      </c>
      <c r="S25" s="30">
        <f>Modelldaten!$C$30</f>
        <v>20</v>
      </c>
      <c r="T25" s="30">
        <f>Modelldaten!$C$30</f>
        <v>20</v>
      </c>
      <c r="U25" s="30">
        <f>Modelldaten!$C$30</f>
        <v>20</v>
      </c>
      <c r="V25" s="30">
        <f>Modelldaten!$C$30</f>
        <v>20</v>
      </c>
      <c r="W25" s="30">
        <f>Modelldaten!$C$30</f>
        <v>20</v>
      </c>
      <c r="X25" s="30">
        <f>Modelldaten!$C$30</f>
        <v>20</v>
      </c>
      <c r="Y25" s="30">
        <f>Modelldaten!$C$30</f>
        <v>20</v>
      </c>
      <c r="Z25" s="30">
        <f>Modelldaten!$C$30</f>
        <v>20</v>
      </c>
      <c r="AA25" s="30">
        <f>Modelldaten!$C$30</f>
        <v>20</v>
      </c>
      <c r="AB25" s="30">
        <f>Modelldaten!$C$30</f>
        <v>20</v>
      </c>
      <c r="AC25" s="30">
        <f>Modelldaten!$C$30</f>
        <v>20</v>
      </c>
      <c r="AD25" s="30">
        <f>Modelldaten!$C$30</f>
        <v>20</v>
      </c>
      <c r="AE25" s="30">
        <f>Modelldaten!$C$30</f>
        <v>20</v>
      </c>
      <c r="AF25" s="30">
        <f>Modelldaten!$C$30</f>
        <v>20</v>
      </c>
      <c r="AG25" s="30">
        <f>Modelldaten!$C$30</f>
        <v>20</v>
      </c>
      <c r="AH25" s="31">
        <f t="shared" si="3"/>
        <v>620</v>
      </c>
      <c r="AI25" s="4"/>
      <c r="AJ25" s="4"/>
      <c r="AK25" s="4"/>
      <c r="AL25" s="5"/>
    </row>
    <row r="26" spans="1:38" ht="15.6">
      <c r="A26" s="22" t="s">
        <v>53</v>
      </c>
      <c r="B26" s="23" t="s">
        <v>14</v>
      </c>
      <c r="C26" s="30">
        <f>80</f>
        <v>80</v>
      </c>
      <c r="D26" s="30">
        <f>80</f>
        <v>80</v>
      </c>
      <c r="E26" s="30">
        <f>80</f>
        <v>80</v>
      </c>
      <c r="F26" s="30">
        <f>80</f>
        <v>80</v>
      </c>
      <c r="G26" s="30">
        <f>80</f>
        <v>80</v>
      </c>
      <c r="H26" s="30">
        <f>80</f>
        <v>80</v>
      </c>
      <c r="I26" s="30">
        <f>80</f>
        <v>80</v>
      </c>
      <c r="J26" s="30">
        <f>80</f>
        <v>80</v>
      </c>
      <c r="K26" s="30">
        <f>80</f>
        <v>80</v>
      </c>
      <c r="L26" s="30">
        <f>80</f>
        <v>80</v>
      </c>
      <c r="M26" s="30">
        <f>80</f>
        <v>80</v>
      </c>
      <c r="N26" s="30">
        <f>80</f>
        <v>80</v>
      </c>
      <c r="O26" s="30">
        <f>80</f>
        <v>80</v>
      </c>
      <c r="P26" s="30">
        <f>80</f>
        <v>80</v>
      </c>
      <c r="Q26" s="30">
        <f>80</f>
        <v>80</v>
      </c>
      <c r="R26" s="30">
        <f>80</f>
        <v>80</v>
      </c>
      <c r="S26" s="30">
        <f>80</f>
        <v>80</v>
      </c>
      <c r="T26" s="30">
        <f>80</f>
        <v>80</v>
      </c>
      <c r="U26" s="30">
        <f>80</f>
        <v>80</v>
      </c>
      <c r="V26" s="30">
        <f>80</f>
        <v>80</v>
      </c>
      <c r="W26" s="30">
        <f>80</f>
        <v>80</v>
      </c>
      <c r="X26" s="30">
        <f>80</f>
        <v>80</v>
      </c>
      <c r="Y26" s="30">
        <f>80</f>
        <v>80</v>
      </c>
      <c r="Z26" s="30">
        <f>80</f>
        <v>80</v>
      </c>
      <c r="AA26" s="30">
        <f>80</f>
        <v>80</v>
      </c>
      <c r="AB26" s="30">
        <f>80</f>
        <v>80</v>
      </c>
      <c r="AC26" s="30">
        <f>80</f>
        <v>80</v>
      </c>
      <c r="AD26" s="30">
        <f>80</f>
        <v>80</v>
      </c>
      <c r="AE26" s="30">
        <f>80</f>
        <v>80</v>
      </c>
      <c r="AF26" s="30">
        <f>80</f>
        <v>80</v>
      </c>
      <c r="AG26" s="30">
        <f>80</f>
        <v>80</v>
      </c>
      <c r="AH26" s="31">
        <f t="shared" si="3"/>
        <v>2480</v>
      </c>
      <c r="AI26" s="4"/>
      <c r="AJ26" s="4"/>
      <c r="AK26" s="4"/>
      <c r="AL26" s="5"/>
    </row>
    <row r="27" spans="1:38" ht="15.6">
      <c r="A27" s="22" t="s">
        <v>54</v>
      </c>
      <c r="B27" s="23" t="s">
        <v>14</v>
      </c>
      <c r="C27" s="30">
        <v>0</v>
      </c>
      <c r="D27" s="30">
        <f>(-1*$C$49)*(Modelldaten!$C$32*2/Modelldaten!$C$35)+(-1*$C$49)*(Modelldaten!$C$33/Modelldaten!$C$35)</f>
        <v>191.52</v>
      </c>
      <c r="E27" s="30">
        <f>(-1*$C$49)*(Modelldaten!$C$32*2/Modelldaten!$C$35)+(-1*$C$49)*(Modelldaten!$C$33/Modelldaten!$C$35)</f>
        <v>191.52</v>
      </c>
      <c r="F27" s="30">
        <f>(-1*$C$49)*(Modelldaten!$C$32*2/Modelldaten!$C$35)+(-1*$C$49)*(Modelldaten!$C$33/Modelldaten!$C$35)</f>
        <v>191.52</v>
      </c>
      <c r="G27" s="30">
        <f>(-1*$C$49)*(Modelldaten!$C$32*2/Modelldaten!$C$35)+(-1*$C$49)*(Modelldaten!$C$33/Modelldaten!$C$35)</f>
        <v>191.52</v>
      </c>
      <c r="H27" s="30">
        <f>(-1*$C$49)*(Modelldaten!$C$32*2/Modelldaten!$C$35)+(-1*$C$49)*(Modelldaten!$C$33/Modelldaten!$C$35)</f>
        <v>191.52</v>
      </c>
      <c r="I27" s="30">
        <f>(-1*$C$49)*(Modelldaten!$C$32*2/Modelldaten!$C$35)+(-1*$C$49)*(Modelldaten!$C$33/Modelldaten!$C$35)</f>
        <v>191.52</v>
      </c>
      <c r="J27" s="30">
        <f>(-1*$C$49)*(Modelldaten!$C$32*2/Modelldaten!$C$35)+(-1*$C$49)*(Modelldaten!$C$33/Modelldaten!$C$35)</f>
        <v>191.52</v>
      </c>
      <c r="K27" s="30">
        <f>(-1*$C$49)*(Modelldaten!$C$32*2/Modelldaten!$C$35)+(-1*$C$49)*(Modelldaten!$C$33/Modelldaten!$C$35)</f>
        <v>191.52</v>
      </c>
      <c r="L27" s="30">
        <f>(-1*$C$49)*(Modelldaten!$C$32*2/Modelldaten!$C$35)+(-1*$C$49)*(Modelldaten!$C$33/Modelldaten!$C$35)</f>
        <v>191.52</v>
      </c>
      <c r="M27" s="30">
        <f>(-1*$C$49)*(Modelldaten!$C$32*2/Modelldaten!$C$35)+(-1*$C$49)*(Modelldaten!$C$33/Modelldaten!$C$35)</f>
        <v>191.52</v>
      </c>
      <c r="N27" s="30">
        <f>(-1*$C$49)*(Modelldaten!$C$32*2/Modelldaten!$C$35)+(-1*$C$49)*(Modelldaten!$C$33/Modelldaten!$C$35)</f>
        <v>191.52</v>
      </c>
      <c r="O27" s="30">
        <f>(-1*$C$49)*(Modelldaten!$C$32*2/Modelldaten!$C$35)+(-1*$C$49)*(Modelldaten!$C$33/Modelldaten!$C$35)</f>
        <v>191.52</v>
      </c>
      <c r="P27" s="30">
        <f>(-1*$C$49)*(Modelldaten!$C$32*2/Modelldaten!$C$35)+(-1*$C$49)*(Modelldaten!$C$33/Modelldaten!$C$35)</f>
        <v>191.52</v>
      </c>
      <c r="Q27" s="30">
        <f>(-1*$C$49)*(Modelldaten!$C$32*2/Modelldaten!$C$35)+(-1*$C$49)*(Modelldaten!$C$33/Modelldaten!$C$35)</f>
        <v>191.52</v>
      </c>
      <c r="R27" s="30">
        <f>(-1*$C$49)*(Modelldaten!$C$32*2/Modelldaten!$C$35)+(-1*$C$49)*(Modelldaten!$C$33/Modelldaten!$C$35)</f>
        <v>191.52</v>
      </c>
      <c r="S27" s="30">
        <f>(-1*$C$49)*(Modelldaten!$C$33/Modelldaten!$C$35)</f>
        <v>21.28</v>
      </c>
      <c r="T27" s="30">
        <f>(-1*$C$49)*(Modelldaten!$C$33/Modelldaten!$C$35)</f>
        <v>21.28</v>
      </c>
      <c r="U27" s="30">
        <f>(-1*$C$49)*(Modelldaten!$C$33/Modelldaten!$C$35)</f>
        <v>21.28</v>
      </c>
      <c r="V27" s="30">
        <f>(-1*$C$49)*(Modelldaten!$C$33/Modelldaten!$C$35)</f>
        <v>21.28</v>
      </c>
      <c r="W27" s="30">
        <f>(-1*$C$49)*(Modelldaten!$C$33/Modelldaten!$C$35)</f>
        <v>21.28</v>
      </c>
      <c r="X27" s="30">
        <f>(-1*$C$49)*(Modelldaten!$C$33/Modelldaten!$C$35)</f>
        <v>21.28</v>
      </c>
      <c r="Y27" s="30">
        <f>(-1*$C$49)*(Modelldaten!$C$33/Modelldaten!$C$35)</f>
        <v>21.28</v>
      </c>
      <c r="Z27" s="30">
        <f>(-1*$C$49)*(Modelldaten!$C$33/Modelldaten!$C$35)</f>
        <v>21.28</v>
      </c>
      <c r="AA27" s="30">
        <f>(-1*$C$49)*(Modelldaten!$C$33/Modelldaten!$C$35)</f>
        <v>21.28</v>
      </c>
      <c r="AB27" s="30">
        <f>(-1*$C$49)*(Modelldaten!$C$33/Modelldaten!$C$35)</f>
        <v>21.28</v>
      </c>
      <c r="AC27" s="30">
        <f>(-1*$C$49)*(Modelldaten!$C$33/Modelldaten!$C$35)</f>
        <v>21.28</v>
      </c>
      <c r="AD27" s="30">
        <f>(-1*$C$49)*(Modelldaten!$C$33/Modelldaten!$C$35)</f>
        <v>21.28</v>
      </c>
      <c r="AE27" s="30">
        <f>(-1*$C$49)*(Modelldaten!$C$33/Modelldaten!$C$35)</f>
        <v>21.28</v>
      </c>
      <c r="AF27" s="30">
        <f>(-1*$C$49)*(Modelldaten!$C$33/Modelldaten!$C$35)</f>
        <v>21.28</v>
      </c>
      <c r="AG27" s="30">
        <f>(-1*$C$49)*(Modelldaten!$C$33/Modelldaten!$C$35)</f>
        <v>21.28</v>
      </c>
      <c r="AH27" s="31">
        <f t="shared" si="3"/>
        <v>3192.0000000000032</v>
      </c>
      <c r="AI27" s="4"/>
      <c r="AJ27" s="4"/>
      <c r="AK27" s="4"/>
      <c r="AL27" s="5"/>
    </row>
    <row r="28" spans="1:38" ht="15.6">
      <c r="A28" s="22" t="s">
        <v>55</v>
      </c>
      <c r="B28" s="23" t="s">
        <v>14</v>
      </c>
      <c r="C28" s="30">
        <f>Modelldaten!$C$19*0.19*(C10*C14/1.19+12*7.95/1.19)</f>
        <v>0</v>
      </c>
      <c r="D28" s="30">
        <f>Modelldaten!$C$19*0.19*(D10*D14/1.19+12*7.95/1.19)</f>
        <v>0</v>
      </c>
      <c r="E28" s="30">
        <f>Modelldaten!$C$19*0.19*(E10*E14/1.19+12*7.95/1.19)</f>
        <v>0</v>
      </c>
      <c r="F28" s="30">
        <f>Modelldaten!$C$19*0.19*(F10*F14/1.19+12*7.95/1.19)</f>
        <v>0</v>
      </c>
      <c r="G28" s="30">
        <f>Modelldaten!$C$19*0.19*(G10*G14/1.19+12*7.95/1.19)</f>
        <v>0</v>
      </c>
      <c r="H28" s="30">
        <f>Modelldaten!$C$19*0.19*(H10*H14/1.19+12*7.95/1.19)</f>
        <v>0</v>
      </c>
      <c r="I28" s="30">
        <f>Modelldaten!$C$19*0.19*(I10*I14/1.19+12*7.95/1.19)</f>
        <v>0</v>
      </c>
      <c r="J28" s="30">
        <f>Modelldaten!$C$19*0.19*(J10*J14/1.19+12*7.95/1.19)</f>
        <v>0</v>
      </c>
      <c r="K28" s="30">
        <f>Modelldaten!$C$19*0.19*(K10*K14/1.19+12*7.95/1.19)</f>
        <v>0</v>
      </c>
      <c r="L28" s="30">
        <f>Modelldaten!$C$19*0.19*(L10*L14/1.19+12*7.95/1.19)</f>
        <v>0</v>
      </c>
      <c r="M28" s="30">
        <f>Modelldaten!$C$19*0.19*(M10*M14/1.19+12*7.95/1.19)</f>
        <v>0</v>
      </c>
      <c r="N28" s="30">
        <f>Modelldaten!$C$19*0.19*(N10*N14/1.19+12*7.95/1.19)</f>
        <v>0</v>
      </c>
      <c r="O28" s="30">
        <f>Modelldaten!$C$19*0.19*(O10*O14/1.19+12*7.95/1.19)</f>
        <v>0</v>
      </c>
      <c r="P28" s="30">
        <f>Modelldaten!$C$19*0.19*(P10*P14/1.19+12*7.95/1.19)</f>
        <v>0</v>
      </c>
      <c r="Q28" s="30">
        <f>Modelldaten!$C$19*0.19*(Q10*Q14/1.19+12*7.95/1.19)</f>
        <v>0</v>
      </c>
      <c r="R28" s="30">
        <f>Modelldaten!$C$19*0.19*(R10*R14/1.19+12*7.95/1.19)</f>
        <v>0</v>
      </c>
      <c r="S28" s="30">
        <f>Modelldaten!$C$19*0.19*(S10*S14/1.19+12*7.95/1.19)</f>
        <v>0</v>
      </c>
      <c r="T28" s="30">
        <f>Modelldaten!$C$19*0.19*(T10*T14/1.19+12*7.95/1.19)</f>
        <v>0</v>
      </c>
      <c r="U28" s="30">
        <f>Modelldaten!$C$19*0.19*(U10*U14/1.19+12*7.95/1.19)</f>
        <v>0</v>
      </c>
      <c r="V28" s="30">
        <f>Modelldaten!$C$19*0.19*(V10*V14/1.19+12*7.95/1.19)</f>
        <v>0</v>
      </c>
      <c r="W28" s="30">
        <f>Modelldaten!$C$19*0.19*(W10*W14/1.19+12*7.95/1.19)</f>
        <v>0</v>
      </c>
      <c r="X28" s="30">
        <f>Modelldaten!$C$19*0.19*(X10*X14/1.19+12*7.95/1.19)</f>
        <v>0</v>
      </c>
      <c r="Y28" s="30">
        <f>Modelldaten!$C$19*0.19*(Y10*Y14/1.19+12*7.95/1.19)</f>
        <v>0</v>
      </c>
      <c r="Z28" s="30">
        <f>Modelldaten!$C$19*0.19*(Z10*Z14/1.19+12*7.95/1.19)</f>
        <v>0</v>
      </c>
      <c r="AA28" s="30">
        <f>Modelldaten!$C$19*0.19*(AA10*AA14/1.19+12*7.95/1.19)</f>
        <v>0</v>
      </c>
      <c r="AB28" s="30">
        <f>Modelldaten!$C$19*0.19*(AB10*AB14/1.19+12*7.95/1.19)</f>
        <v>0</v>
      </c>
      <c r="AC28" s="30">
        <f>Modelldaten!$C$19*0.19*(AC10*AC14/1.19+12*7.95/1.19)</f>
        <v>0</v>
      </c>
      <c r="AD28" s="30">
        <f>Modelldaten!$C$19*0.19*(AD10*AD14/1.19+12*7.95/1.19)</f>
        <v>0</v>
      </c>
      <c r="AE28" s="30">
        <f>Modelldaten!$C$19*0.19*(AE10*AE14/1.19+12*7.95/1.19)</f>
        <v>0</v>
      </c>
      <c r="AF28" s="30">
        <f>Modelldaten!$C$19*0.19*(AF10*AF14/1.19+12*7.95/1.19)</f>
        <v>0</v>
      </c>
      <c r="AG28" s="30">
        <f>Modelldaten!$C$19*0.19*(AG10*AG14/1.19+12*7.95/1.19)</f>
        <v>0</v>
      </c>
      <c r="AH28" s="31">
        <f t="shared" si="3"/>
        <v>0</v>
      </c>
      <c r="AI28" s="4"/>
      <c r="AJ28" s="4"/>
      <c r="AK28" s="4"/>
      <c r="AL28" s="5"/>
    </row>
    <row r="29" spans="1:38" ht="15.6">
      <c r="A29" s="22" t="s">
        <v>56</v>
      </c>
      <c r="B29" s="23" t="s">
        <v>14</v>
      </c>
      <c r="C29" s="30">
        <f>SUM(C23:C28)</f>
        <v>100</v>
      </c>
      <c r="D29" s="30">
        <f t="shared" ref="D29:AG29" si="4">SUM(D23:D28)</f>
        <v>291.52</v>
      </c>
      <c r="E29" s="30">
        <f t="shared" si="4"/>
        <v>291.52</v>
      </c>
      <c r="F29" s="30">
        <f t="shared" si="4"/>
        <v>291.52</v>
      </c>
      <c r="G29" s="30">
        <f t="shared" si="4"/>
        <v>291.52</v>
      </c>
      <c r="H29" s="30">
        <f t="shared" si="4"/>
        <v>291.52</v>
      </c>
      <c r="I29" s="30">
        <f t="shared" si="4"/>
        <v>291.52</v>
      </c>
      <c r="J29" s="30">
        <f t="shared" si="4"/>
        <v>291.52</v>
      </c>
      <c r="K29" s="30">
        <f t="shared" si="4"/>
        <v>291.52</v>
      </c>
      <c r="L29" s="30">
        <f t="shared" si="4"/>
        <v>291.52</v>
      </c>
      <c r="M29" s="30">
        <f t="shared" si="4"/>
        <v>291.52</v>
      </c>
      <c r="N29" s="30">
        <f t="shared" si="4"/>
        <v>291.52</v>
      </c>
      <c r="O29" s="30">
        <f t="shared" si="4"/>
        <v>291.52</v>
      </c>
      <c r="P29" s="30">
        <f t="shared" si="4"/>
        <v>291.52</v>
      </c>
      <c r="Q29" s="30">
        <f t="shared" si="4"/>
        <v>291.52</v>
      </c>
      <c r="R29" s="30">
        <f t="shared" si="4"/>
        <v>291.52</v>
      </c>
      <c r="S29" s="30">
        <f t="shared" si="4"/>
        <v>121.28</v>
      </c>
      <c r="T29" s="30">
        <f t="shared" si="4"/>
        <v>121.28</v>
      </c>
      <c r="U29" s="30">
        <f t="shared" si="4"/>
        <v>121.28</v>
      </c>
      <c r="V29" s="30">
        <f t="shared" si="4"/>
        <v>121.28</v>
      </c>
      <c r="W29" s="30">
        <f t="shared" si="4"/>
        <v>121.28</v>
      </c>
      <c r="X29" s="30">
        <f t="shared" si="4"/>
        <v>121.28</v>
      </c>
      <c r="Y29" s="30">
        <f t="shared" si="4"/>
        <v>121.28</v>
      </c>
      <c r="Z29" s="30">
        <f t="shared" si="4"/>
        <v>121.28</v>
      </c>
      <c r="AA29" s="30">
        <f t="shared" si="4"/>
        <v>121.28</v>
      </c>
      <c r="AB29" s="30">
        <f t="shared" si="4"/>
        <v>121.28</v>
      </c>
      <c r="AC29" s="30">
        <f t="shared" si="4"/>
        <v>121.28</v>
      </c>
      <c r="AD29" s="30">
        <f t="shared" si="4"/>
        <v>121.28</v>
      </c>
      <c r="AE29" s="30">
        <f t="shared" si="4"/>
        <v>121.28</v>
      </c>
      <c r="AF29" s="30">
        <f t="shared" si="4"/>
        <v>121.28</v>
      </c>
      <c r="AG29" s="30">
        <f t="shared" si="4"/>
        <v>121.28</v>
      </c>
      <c r="AH29" s="31">
        <f t="shared" si="3"/>
        <v>6291.9999999999955</v>
      </c>
      <c r="AI29" s="4"/>
      <c r="AJ29" s="4"/>
      <c r="AK29" s="4"/>
      <c r="AL29" s="5"/>
    </row>
    <row r="30" spans="1:38" ht="15.6">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31"/>
      <c r="AI30" s="4"/>
      <c r="AJ30" s="4"/>
      <c r="AK30" s="4"/>
      <c r="AL30" s="5"/>
    </row>
    <row r="31" spans="1:38" ht="15.6">
      <c r="A31" s="27" t="s">
        <v>57</v>
      </c>
      <c r="B31" s="23" t="s">
        <v>14</v>
      </c>
      <c r="C31" s="23">
        <f>Modelldaten!C22</f>
        <v>0</v>
      </c>
      <c r="D31" s="23">
        <f>Modelldaten!C22</f>
        <v>0</v>
      </c>
      <c r="E31" s="23">
        <f>D31-(Modelldaten!$C$22*Modelldaten!$D$26-E23)</f>
        <v>0</v>
      </c>
      <c r="F31" s="23">
        <f>E31-(Modelldaten!$C$22*Modelldaten!$D$26-F23)</f>
        <v>0</v>
      </c>
      <c r="G31" s="23">
        <f>F31-(Modelldaten!$C$22*Modelldaten!$D$26-G23)</f>
        <v>0</v>
      </c>
      <c r="H31" s="23">
        <f>G31-(Modelldaten!$C$22*Modelldaten!$D$26-H23)</f>
        <v>0</v>
      </c>
      <c r="I31" s="23">
        <f>H31-(Modelldaten!$C$22*Modelldaten!$D$26-I23)</f>
        <v>0</v>
      </c>
      <c r="J31" s="23">
        <f>I31-(Modelldaten!$C$22*Modelldaten!$D$26-J23)</f>
        <v>0</v>
      </c>
      <c r="K31" s="23">
        <f>J31-(Modelldaten!$C$22*Modelldaten!$D$26-K23)</f>
        <v>0</v>
      </c>
      <c r="L31" s="23">
        <f>K31-(Modelldaten!$C$22*Modelldaten!$D$26-L23)</f>
        <v>0</v>
      </c>
      <c r="M31" s="23">
        <f>L31-(Modelldaten!$C$22*Modelldaten!$D$26-M23)</f>
        <v>0</v>
      </c>
      <c r="N31" s="23">
        <f>M31-(Modelldaten!$C$22*Modelldaten!$D$26-N23)</f>
        <v>0</v>
      </c>
      <c r="O31" s="23">
        <f>N31-(Modelldaten!$C$22*Modelldaten!$D$26-O23)</f>
        <v>0</v>
      </c>
      <c r="P31" s="23">
        <f>O31-(Modelldaten!$C$22*Modelldaten!$D$26-P23)</f>
        <v>0</v>
      </c>
      <c r="Q31" s="23">
        <f>P31-(Modelldaten!$C$22*Modelldaten!$D$26-Q23)</f>
        <v>0</v>
      </c>
      <c r="R31" s="23">
        <f>Q31-(Modelldaten!$C$22*Modelldaten!$D$26-R23)</f>
        <v>0</v>
      </c>
      <c r="S31" s="23">
        <f>R31-(Modelldaten!$C$22*Modelldaten!$D$26-S23)</f>
        <v>0</v>
      </c>
      <c r="T31" s="23">
        <f>S31-(Modelldaten!$C$22*Modelldaten!$D$26-T23)</f>
        <v>0</v>
      </c>
      <c r="U31" s="23">
        <f>T31-(Modelldaten!$C$22*Modelldaten!$D$26-U23)</f>
        <v>0</v>
      </c>
      <c r="V31" s="23">
        <f>U31-(Modelldaten!$C$22*Modelldaten!$D$26-V23)</f>
        <v>0</v>
      </c>
      <c r="W31" s="23">
        <f>V31-(Modelldaten!$C$22*Modelldaten!$D$26-W23)</f>
        <v>0</v>
      </c>
      <c r="X31" s="23">
        <f>W31-(Modelldaten!$C$22*Modelldaten!$D$26-X23)</f>
        <v>0</v>
      </c>
      <c r="Y31" s="23">
        <f>X31-(Modelldaten!$C$22*Modelldaten!$D$26-Y23)</f>
        <v>0</v>
      </c>
      <c r="Z31" s="23">
        <f>Y31-(Modelldaten!$C$22*Modelldaten!$D$26-Z23)</f>
        <v>0</v>
      </c>
      <c r="AA31" s="23">
        <f>Z31-(Modelldaten!$C$22*Modelldaten!$D$26-AA23)</f>
        <v>0</v>
      </c>
      <c r="AB31" s="23">
        <f>AA31-(Modelldaten!$C$22*Modelldaten!$D$26-AB23)</f>
        <v>0</v>
      </c>
      <c r="AC31" s="23">
        <f>AB31-(Modelldaten!$C$22*Modelldaten!$D$26-AC23)</f>
        <v>0</v>
      </c>
      <c r="AD31" s="23">
        <f>AC31-(Modelldaten!$C$22*Modelldaten!$D$26-AD23)</f>
        <v>0</v>
      </c>
      <c r="AE31" s="23">
        <f>AD31-(Modelldaten!$C$22*Modelldaten!$D$26-AE23)</f>
        <v>0</v>
      </c>
      <c r="AF31" s="23">
        <f>AE31-(Modelldaten!$C$22*Modelldaten!$D$26-AF23)</f>
        <v>0</v>
      </c>
      <c r="AG31" s="23">
        <f>AF31-(Modelldaten!$C$22*Modelldaten!$D$26-AG23)</f>
        <v>0</v>
      </c>
      <c r="AH31" s="31"/>
      <c r="AI31" s="4"/>
      <c r="AJ31" s="4"/>
      <c r="AK31" s="4"/>
      <c r="AL31" s="5"/>
    </row>
    <row r="32" spans="1:38" ht="15.6">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31"/>
      <c r="AI32" s="4"/>
      <c r="AJ32" s="4"/>
      <c r="AK32" s="4"/>
      <c r="AL32" s="5"/>
    </row>
    <row r="33" spans="1:38" ht="15.6">
      <c r="A33" s="27" t="s">
        <v>58</v>
      </c>
      <c r="B33" s="23" t="s">
        <v>14</v>
      </c>
      <c r="C33" s="30">
        <f>C20-C29</f>
        <v>562.05272000000002</v>
      </c>
      <c r="D33" s="30">
        <f t="shared" ref="D33:AG33" si="5">D20-D29</f>
        <v>670.97972000000004</v>
      </c>
      <c r="E33" s="30">
        <f t="shared" si="5"/>
        <v>683.29258788199991</v>
      </c>
      <c r="F33" s="30">
        <f t="shared" si="5"/>
        <v>695.94452080891995</v>
      </c>
      <c r="G33" s="30">
        <f t="shared" si="5"/>
        <v>708.94303156716137</v>
      </c>
      <c r="H33" s="30">
        <f t="shared" si="5"/>
        <v>722.2957785517691</v>
      </c>
      <c r="I33" s="30">
        <f t="shared" si="5"/>
        <v>736.01056774144308</v>
      </c>
      <c r="J33" s="30">
        <f t="shared" si="5"/>
        <v>750.09535466100078</v>
      </c>
      <c r="K33" s="30">
        <f t="shared" si="5"/>
        <v>764.55824632876465</v>
      </c>
      <c r="L33" s="30">
        <f t="shared" si="5"/>
        <v>779.40750318619939</v>
      </c>
      <c r="M33" s="30">
        <f t="shared" si="5"/>
        <v>794.65154100698419</v>
      </c>
      <c r="N33" s="30">
        <f t="shared" si="5"/>
        <v>810.29893278254895</v>
      </c>
      <c r="O33" s="30">
        <f t="shared" si="5"/>
        <v>826.35841058094093</v>
      </c>
      <c r="P33" s="30">
        <f t="shared" si="5"/>
        <v>842.83886737573243</v>
      </c>
      <c r="Q33" s="30">
        <f t="shared" si="5"/>
        <v>859.7493588414884</v>
      </c>
      <c r="R33" s="30">
        <f t="shared" si="5"/>
        <v>877.09910511215162</v>
      </c>
      <c r="S33" s="30">
        <f t="shared" si="5"/>
        <v>1065.1374924984973</v>
      </c>
      <c r="T33" s="30">
        <f t="shared" si="5"/>
        <v>1083.3940751606226</v>
      </c>
      <c r="U33" s="30">
        <f t="shared" si="5"/>
        <v>1102.118576731227</v>
      </c>
      <c r="V33" s="30">
        <f t="shared" si="5"/>
        <v>1121.3208918852231</v>
      </c>
      <c r="W33" s="30">
        <f t="shared" si="5"/>
        <v>1141.0110878510006</v>
      </c>
      <c r="X33" s="30">
        <f t="shared" si="5"/>
        <v>811.29236585842818</v>
      </c>
      <c r="Y33" s="30">
        <f t="shared" si="5"/>
        <v>833.9331505184357</v>
      </c>
      <c r="Z33" s="30">
        <f t="shared" si="5"/>
        <v>857.09306712877105</v>
      </c>
      <c r="AA33" s="30">
        <f t="shared" si="5"/>
        <v>880.78288690025965</v>
      </c>
      <c r="AB33" s="30">
        <f t="shared" si="5"/>
        <v>905.01356009762185</v>
      </c>
      <c r="AC33" s="30">
        <f t="shared" si="5"/>
        <v>929.79621708861578</v>
      </c>
      <c r="AD33" s="30">
        <f t="shared" si="5"/>
        <v>955.14216929498093</v>
      </c>
      <c r="AE33" s="30">
        <f t="shared" si="5"/>
        <v>981.06291003834872</v>
      </c>
      <c r="AF33" s="30">
        <f t="shared" si="5"/>
        <v>1007.5701152739528</v>
      </c>
      <c r="AG33" s="30">
        <f t="shared" si="5"/>
        <v>1034.6756442046587</v>
      </c>
      <c r="AH33" s="31">
        <f>SUM(C33:AG33)</f>
        <v>26793.920456957749</v>
      </c>
      <c r="AI33" s="4"/>
      <c r="AJ33" s="4"/>
      <c r="AK33" s="4"/>
      <c r="AL33" s="5"/>
    </row>
    <row r="34" spans="1:38" ht="15.6">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31"/>
      <c r="AI34" s="4"/>
      <c r="AJ34" s="4"/>
      <c r="AK34" s="4"/>
      <c r="AL34" s="5"/>
    </row>
    <row r="35" spans="1:38" ht="15.6">
      <c r="A35" s="27" t="s">
        <v>59</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31"/>
      <c r="AI35" s="4"/>
      <c r="AJ35" s="4"/>
      <c r="AK35" s="4"/>
      <c r="AL35" s="5"/>
    </row>
    <row r="36" spans="1:38" ht="15.6">
      <c r="A36" s="22" t="s">
        <v>60</v>
      </c>
      <c r="B36" s="23" t="s">
        <v>14</v>
      </c>
      <c r="C36" s="30">
        <f>C33+C27</f>
        <v>562.05272000000002</v>
      </c>
      <c r="D36" s="30">
        <f t="shared" ref="D36:AG36" si="6">D33+D27</f>
        <v>862.49972000000002</v>
      </c>
      <c r="E36" s="30">
        <f t="shared" si="6"/>
        <v>874.81258788199989</v>
      </c>
      <c r="F36" s="30">
        <f t="shared" si="6"/>
        <v>887.46452080891993</v>
      </c>
      <c r="G36" s="30">
        <f t="shared" si="6"/>
        <v>900.46303156716135</v>
      </c>
      <c r="H36" s="30">
        <f t="shared" si="6"/>
        <v>913.81577855176909</v>
      </c>
      <c r="I36" s="30">
        <f t="shared" si="6"/>
        <v>927.53056774144306</v>
      </c>
      <c r="J36" s="30">
        <f t="shared" si="6"/>
        <v>941.61535466100077</v>
      </c>
      <c r="K36" s="30">
        <f t="shared" si="6"/>
        <v>956.07824632876464</v>
      </c>
      <c r="L36" s="30">
        <f t="shared" si="6"/>
        <v>970.92750318619937</v>
      </c>
      <c r="M36" s="30">
        <f t="shared" si="6"/>
        <v>986.17154100698417</v>
      </c>
      <c r="N36" s="30">
        <f t="shared" si="6"/>
        <v>1001.8189327825489</v>
      </c>
      <c r="O36" s="30">
        <f t="shared" si="6"/>
        <v>1017.8784105809409</v>
      </c>
      <c r="P36" s="30">
        <f t="shared" si="6"/>
        <v>1034.3588673757324</v>
      </c>
      <c r="Q36" s="30">
        <f t="shared" si="6"/>
        <v>1051.2693588414884</v>
      </c>
      <c r="R36" s="30">
        <f t="shared" si="6"/>
        <v>1068.6191051121516</v>
      </c>
      <c r="S36" s="30">
        <f t="shared" si="6"/>
        <v>1086.4174924984973</v>
      </c>
      <c r="T36" s="30">
        <f t="shared" si="6"/>
        <v>1104.6740751606226</v>
      </c>
      <c r="U36" s="30">
        <f t="shared" si="6"/>
        <v>1123.398576731227</v>
      </c>
      <c r="V36" s="30">
        <f t="shared" si="6"/>
        <v>1142.6008918852231</v>
      </c>
      <c r="W36" s="30">
        <f t="shared" si="6"/>
        <v>1162.2910878510006</v>
      </c>
      <c r="X36" s="30">
        <f t="shared" si="6"/>
        <v>832.57236585842816</v>
      </c>
      <c r="Y36" s="30">
        <f t="shared" si="6"/>
        <v>855.21315051843567</v>
      </c>
      <c r="Z36" s="30">
        <f t="shared" si="6"/>
        <v>878.37306712877103</v>
      </c>
      <c r="AA36" s="30">
        <f t="shared" si="6"/>
        <v>902.06288690025963</v>
      </c>
      <c r="AB36" s="30">
        <f t="shared" si="6"/>
        <v>926.29356009762182</v>
      </c>
      <c r="AC36" s="30">
        <f t="shared" si="6"/>
        <v>951.07621708861575</v>
      </c>
      <c r="AD36" s="30">
        <f t="shared" si="6"/>
        <v>976.4221692949809</v>
      </c>
      <c r="AE36" s="30">
        <f t="shared" si="6"/>
        <v>1002.3429100383487</v>
      </c>
      <c r="AF36" s="30">
        <f t="shared" si="6"/>
        <v>1028.8501152739527</v>
      </c>
      <c r="AG36" s="30">
        <f t="shared" si="6"/>
        <v>1055.9556442046587</v>
      </c>
      <c r="AH36" s="31"/>
      <c r="AI36" s="32" t="s">
        <v>61</v>
      </c>
      <c r="AJ36" s="62" t="s">
        <v>142</v>
      </c>
      <c r="AK36" s="4" t="s">
        <v>62</v>
      </c>
      <c r="AL36" s="5"/>
    </row>
    <row r="37" spans="1:38" ht="27">
      <c r="A37" s="33" t="s">
        <v>79</v>
      </c>
      <c r="B37" s="23" t="s">
        <v>14</v>
      </c>
      <c r="C37" s="30">
        <f>Modelldaten!$C$19*19/119*Modelldaten!C16</f>
        <v>0</v>
      </c>
      <c r="D37" s="30">
        <v>0</v>
      </c>
      <c r="E37" s="30">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1"/>
      <c r="AI37" s="32"/>
      <c r="AJ37" s="32"/>
      <c r="AK37" s="4"/>
      <c r="AL37" s="5"/>
    </row>
    <row r="38" spans="1:38" ht="15.6">
      <c r="A38" s="34" t="s">
        <v>63</v>
      </c>
      <c r="B38" s="23" t="s">
        <v>14</v>
      </c>
      <c r="C38" s="30">
        <f>C45*(-1*$C$49)*Modelldaten!$C$17</f>
        <v>0</v>
      </c>
      <c r="D38" s="30">
        <f>D45*(-1*$C$49)*Modelldaten!$C$17</f>
        <v>722.89068189859165</v>
      </c>
      <c r="E38" s="30">
        <f>E45*(-1*$C$49)*Modelldaten!$C$17</f>
        <v>722.89068189859165</v>
      </c>
      <c r="F38" s="30">
        <f>F45*(-1*$C$49)*Modelldaten!$C$17</f>
        <v>722.89068189859165</v>
      </c>
      <c r="G38" s="30">
        <f>G45*(-1*$C$49)*Modelldaten!$C$17</f>
        <v>722.89068189859165</v>
      </c>
      <c r="H38" s="30">
        <f>H45*(-1*$C$49)*Modelldaten!$C$17</f>
        <v>722.89068189859165</v>
      </c>
      <c r="I38" s="30">
        <f>I45*(-1*$C$49)*Modelldaten!$C$17</f>
        <v>722.89068189859165</v>
      </c>
      <c r="J38" s="30">
        <f>J45*(-1*$C$49)*Modelldaten!$C$17</f>
        <v>722.89068189859165</v>
      </c>
      <c r="K38" s="30">
        <f>K45*(-1*$C$49)*Modelldaten!$C$17</f>
        <v>722.89068189859165</v>
      </c>
      <c r="L38" s="30">
        <f>L45*(-1*$C$49)*Modelldaten!$C$17</f>
        <v>722.89068189859165</v>
      </c>
      <c r="M38" s="30">
        <f>M45*(-1*$C$49)*Modelldaten!$C$17</f>
        <v>722.89068189859165</v>
      </c>
      <c r="N38" s="30">
        <f>N45*(-1*$C$49)*Modelldaten!$C$17</f>
        <v>722.89068189859165</v>
      </c>
      <c r="O38" s="30">
        <f>O45*(-1*$C$49)*Modelldaten!$C$17</f>
        <v>722.89068189859165</v>
      </c>
      <c r="P38" s="30">
        <f>P45*(-1*$C$49)*Modelldaten!$C$17</f>
        <v>722.89068189859165</v>
      </c>
      <c r="Q38" s="30">
        <f>Q45*(-1*$C$49)*Modelldaten!$C$17</f>
        <v>722.89068189859165</v>
      </c>
      <c r="R38" s="30">
        <f>R45*(-1*$C$49)*Modelldaten!$C$17</f>
        <v>722.89068189859165</v>
      </c>
      <c r="S38" s="30">
        <f>S45*(-1*$C$49)*Modelldaten!$C$17</f>
        <v>1063.3706818985918</v>
      </c>
      <c r="T38" s="30">
        <f>T45*(-1*$C$49)*Modelldaten!$C$17</f>
        <v>1063.3706818985918</v>
      </c>
      <c r="U38" s="30">
        <f>U45*(-1*$C$49)*Modelldaten!$C$17</f>
        <v>1063.3706818985918</v>
      </c>
      <c r="V38" s="30">
        <f>V45*(-1*$C$49)*Modelldaten!$C$17</f>
        <v>1063.3706818985918</v>
      </c>
      <c r="W38" s="30">
        <f>W45*(-1*$C$49)*Modelldaten!$C$17</f>
        <v>1063.3706818985918</v>
      </c>
      <c r="X38" s="30">
        <f>X45*(-1*$C$49)*Modelldaten!$C$17</f>
        <v>1063.3706818985918</v>
      </c>
      <c r="Y38" s="30">
        <f>Y45*(-1*$C$49)*Modelldaten!$C$17</f>
        <v>1063.3706818985918</v>
      </c>
      <c r="Z38" s="30">
        <f>Z45*(-1*$C$49)*Modelldaten!$C$17</f>
        <v>1063.3706818985918</v>
      </c>
      <c r="AA38" s="30">
        <f>AA45*(-1*$C$49)*Modelldaten!$C$17</f>
        <v>1063.3706818985918</v>
      </c>
      <c r="AB38" s="30">
        <f>AB45*(-1*$C$49)*Modelldaten!$C$17</f>
        <v>1063.3706818985918</v>
      </c>
      <c r="AC38" s="30">
        <f>AC45*(-1*$C$49)*Modelldaten!$C$17</f>
        <v>1063.3706818985918</v>
      </c>
      <c r="AD38" s="30">
        <f>AD45*(-1*$C$49)*Modelldaten!$C$17</f>
        <v>1063.3706818985918</v>
      </c>
      <c r="AE38" s="30">
        <f>AE45*(-1*$C$49)*Modelldaten!$C$17</f>
        <v>1063.3706818985918</v>
      </c>
      <c r="AF38" s="30">
        <f>AF45*(-1*$C$49)*Modelldaten!$C$17</f>
        <v>1063.3706818985918</v>
      </c>
      <c r="AG38" s="30">
        <f>AG45*(-1*$C$49)*Modelldaten!$C$17</f>
        <v>1063.3706818985918</v>
      </c>
      <c r="AH38" s="31">
        <f>SUM(C38:AG38)</f>
        <v>26793.920456957756</v>
      </c>
      <c r="AI38" s="35">
        <f>AH38+AG42+C49</f>
        <v>14025.920456957752</v>
      </c>
      <c r="AJ38" s="63">
        <f>(-C49+AH26+AH39+AH40)/AH9</f>
        <v>0.10126104041875064</v>
      </c>
      <c r="AK38" s="36">
        <f>(AG49-C49+AH26+AH39+AH40)/AH9</f>
        <v>0.17828269433969321</v>
      </c>
      <c r="AL38" s="5"/>
    </row>
    <row r="39" spans="1:38" ht="27">
      <c r="A39" s="33" t="s">
        <v>80</v>
      </c>
      <c r="B39" s="23" t="s">
        <v>14</v>
      </c>
      <c r="C39" s="30">
        <v>0</v>
      </c>
      <c r="D39" s="30">
        <v>0</v>
      </c>
      <c r="E39" s="30">
        <v>0</v>
      </c>
      <c r="F39" s="30">
        <v>0</v>
      </c>
      <c r="G39" s="30">
        <v>0</v>
      </c>
      <c r="H39" s="30">
        <v>0</v>
      </c>
      <c r="I39" s="30">
        <v>0</v>
      </c>
      <c r="J39" s="30">
        <v>0</v>
      </c>
      <c r="K39" s="30">
        <v>0</v>
      </c>
      <c r="L39" s="30">
        <v>0</v>
      </c>
      <c r="M39" s="30">
        <v>0</v>
      </c>
      <c r="N39" s="30">
        <v>0</v>
      </c>
      <c r="O39" s="30">
        <v>0</v>
      </c>
      <c r="P39" s="30">
        <v>0</v>
      </c>
      <c r="Q39" s="30">
        <v>0</v>
      </c>
      <c r="R39" s="37">
        <f>Modelldaten!C32*(-1*C49)</f>
        <v>2553.6000000000004</v>
      </c>
      <c r="S39" s="30">
        <v>0</v>
      </c>
      <c r="T39" s="30">
        <v>0</v>
      </c>
      <c r="U39" s="30">
        <v>0</v>
      </c>
      <c r="V39" s="30">
        <v>0</v>
      </c>
      <c r="W39" s="30">
        <v>0</v>
      </c>
      <c r="X39" s="30">
        <v>0</v>
      </c>
      <c r="Y39" s="30">
        <v>0</v>
      </c>
      <c r="Z39" s="30">
        <v>0</v>
      </c>
      <c r="AA39" s="30">
        <v>0</v>
      </c>
      <c r="AB39" s="30">
        <v>0</v>
      </c>
      <c r="AC39" s="30">
        <v>0</v>
      </c>
      <c r="AD39" s="30">
        <v>0</v>
      </c>
      <c r="AE39" s="30">
        <v>0</v>
      </c>
      <c r="AF39" s="30">
        <v>0</v>
      </c>
      <c r="AG39" s="30">
        <v>0</v>
      </c>
      <c r="AH39" s="31">
        <f>SUM(C39:AG39)</f>
        <v>2553.6000000000004</v>
      </c>
      <c r="AI39" s="35"/>
      <c r="AJ39" s="35"/>
      <c r="AK39" s="4"/>
      <c r="AL39" s="5"/>
    </row>
    <row r="40" spans="1:38" ht="15.6">
      <c r="A40" s="33" t="s">
        <v>81</v>
      </c>
      <c r="B40" s="23" t="s">
        <v>14</v>
      </c>
      <c r="C40" s="30">
        <v>0</v>
      </c>
      <c r="D40" s="30">
        <v>0</v>
      </c>
      <c r="E40" s="30">
        <v>0</v>
      </c>
      <c r="F40" s="30">
        <v>0</v>
      </c>
      <c r="G40" s="30">
        <v>0</v>
      </c>
      <c r="H40" s="30">
        <v>0</v>
      </c>
      <c r="I40" s="30">
        <v>0</v>
      </c>
      <c r="J40" s="30">
        <v>0</v>
      </c>
      <c r="K40" s="30">
        <v>0</v>
      </c>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f>Modelldaten!C33*(-1*C49)</f>
        <v>638.40000000000009</v>
      </c>
      <c r="AH40" s="31">
        <f>SUM(C40:AG40)</f>
        <v>638.40000000000009</v>
      </c>
      <c r="AI40" s="35"/>
      <c r="AJ40" s="35"/>
      <c r="AK40" s="4"/>
      <c r="AL40" s="5"/>
    </row>
    <row r="41" spans="1:38" ht="15.6">
      <c r="A41" s="33" t="s">
        <v>82</v>
      </c>
      <c r="B41" s="23"/>
      <c r="C41" s="30">
        <f>C36-C39-C40</f>
        <v>562.05272000000002</v>
      </c>
      <c r="D41" s="30">
        <f>C41+D36-D39-D40</f>
        <v>1424.5524399999999</v>
      </c>
      <c r="E41" s="30">
        <f t="shared" ref="E41:AG41" si="7">D41+E36-E39-E40</f>
        <v>2299.3650278819996</v>
      </c>
      <c r="F41" s="30">
        <f t="shared" si="7"/>
        <v>3186.8295486909196</v>
      </c>
      <c r="G41" s="30">
        <f t="shared" si="7"/>
        <v>4087.2925802580812</v>
      </c>
      <c r="H41" s="30">
        <f t="shared" si="7"/>
        <v>5001.10835880985</v>
      </c>
      <c r="I41" s="30">
        <f t="shared" si="7"/>
        <v>5928.6389265512935</v>
      </c>
      <c r="J41" s="30">
        <f t="shared" si="7"/>
        <v>6870.2542812122938</v>
      </c>
      <c r="K41" s="30">
        <f t="shared" si="7"/>
        <v>7826.3325275410589</v>
      </c>
      <c r="L41" s="30">
        <f t="shared" si="7"/>
        <v>8797.2600307272587</v>
      </c>
      <c r="M41" s="30">
        <f t="shared" si="7"/>
        <v>9783.4315717342433</v>
      </c>
      <c r="N41" s="30">
        <f t="shared" si="7"/>
        <v>10785.250504516793</v>
      </c>
      <c r="O41" s="30">
        <f t="shared" si="7"/>
        <v>11803.128915097734</v>
      </c>
      <c r="P41" s="30">
        <f t="shared" si="7"/>
        <v>12837.487782473467</v>
      </c>
      <c r="Q41" s="30">
        <f t="shared" si="7"/>
        <v>13888.757141314954</v>
      </c>
      <c r="R41" s="30">
        <f t="shared" si="7"/>
        <v>12403.776246427105</v>
      </c>
      <c r="S41" s="30">
        <f t="shared" si="7"/>
        <v>13490.193738925602</v>
      </c>
      <c r="T41" s="30">
        <f t="shared" si="7"/>
        <v>14594.867814086225</v>
      </c>
      <c r="U41" s="30">
        <f t="shared" si="7"/>
        <v>15718.266390817451</v>
      </c>
      <c r="V41" s="30">
        <f t="shared" si="7"/>
        <v>16860.867282702675</v>
      </c>
      <c r="W41" s="30">
        <f t="shared" si="7"/>
        <v>18023.158370553676</v>
      </c>
      <c r="X41" s="30">
        <f t="shared" si="7"/>
        <v>18855.730736412104</v>
      </c>
      <c r="Y41" s="30">
        <f t="shared" si="7"/>
        <v>19710.943886930541</v>
      </c>
      <c r="Z41" s="30">
        <f t="shared" si="7"/>
        <v>20589.316954059312</v>
      </c>
      <c r="AA41" s="30">
        <f t="shared" si="7"/>
        <v>21491.379840959573</v>
      </c>
      <c r="AB41" s="30">
        <f t="shared" si="7"/>
        <v>22417.673401057196</v>
      </c>
      <c r="AC41" s="30">
        <f t="shared" si="7"/>
        <v>23368.749618145812</v>
      </c>
      <c r="AD41" s="30">
        <f t="shared" si="7"/>
        <v>24345.171787440791</v>
      </c>
      <c r="AE41" s="30">
        <f t="shared" si="7"/>
        <v>25347.514697479139</v>
      </c>
      <c r="AF41" s="30">
        <f t="shared" si="7"/>
        <v>26376.364812753091</v>
      </c>
      <c r="AG41" s="30">
        <f t="shared" si="7"/>
        <v>26793.920456957749</v>
      </c>
      <c r="AH41" s="31"/>
      <c r="AI41" s="35"/>
      <c r="AJ41" s="35"/>
      <c r="AK41" s="4"/>
      <c r="AL41" s="5"/>
    </row>
    <row r="42" spans="1:38" ht="15.6">
      <c r="A42" s="22" t="s">
        <v>64</v>
      </c>
      <c r="B42" s="23" t="s">
        <v>14</v>
      </c>
      <c r="C42" s="30">
        <f>C36-C39-C40</f>
        <v>562.05272000000002</v>
      </c>
      <c r="D42" s="30">
        <f>C42+D36-D38-D39-D40</f>
        <v>701.66175810140828</v>
      </c>
      <c r="E42" s="30">
        <f t="shared" ref="E42:AG42" si="8">D42+E36-E38-E39-E40</f>
        <v>853.58366408481641</v>
      </c>
      <c r="F42" s="30">
        <f t="shared" si="8"/>
        <v>1018.1575029951447</v>
      </c>
      <c r="G42" s="30">
        <f t="shared" si="8"/>
        <v>1195.7298526637146</v>
      </c>
      <c r="H42" s="30">
        <f t="shared" si="8"/>
        <v>1386.6549493168923</v>
      </c>
      <c r="I42" s="30">
        <f t="shared" si="8"/>
        <v>1591.2948351597438</v>
      </c>
      <c r="J42" s="30">
        <f t="shared" si="8"/>
        <v>1810.019507922153</v>
      </c>
      <c r="K42" s="30">
        <f t="shared" si="8"/>
        <v>2043.2070723523261</v>
      </c>
      <c r="L42" s="30">
        <f t="shared" si="8"/>
        <v>2291.243893639934</v>
      </c>
      <c r="M42" s="30">
        <f t="shared" si="8"/>
        <v>2554.5247527483266</v>
      </c>
      <c r="N42" s="30">
        <f t="shared" si="8"/>
        <v>2833.453003632284</v>
      </c>
      <c r="O42" s="30">
        <f t="shared" si="8"/>
        <v>3128.4407323146334</v>
      </c>
      <c r="P42" s="30">
        <f t="shared" si="8"/>
        <v>3439.908917791774</v>
      </c>
      <c r="Q42" s="30">
        <f t="shared" si="8"/>
        <v>3768.2875947346711</v>
      </c>
      <c r="R42" s="30">
        <f t="shared" si="8"/>
        <v>1560.4160179482305</v>
      </c>
      <c r="S42" s="30">
        <f t="shared" si="8"/>
        <v>1583.462828548136</v>
      </c>
      <c r="T42" s="30">
        <f t="shared" si="8"/>
        <v>1624.7662218101671</v>
      </c>
      <c r="U42" s="30">
        <f t="shared" si="8"/>
        <v>1684.794116642802</v>
      </c>
      <c r="V42" s="30">
        <f t="shared" si="8"/>
        <v>1764.0243266294331</v>
      </c>
      <c r="W42" s="30">
        <f t="shared" si="8"/>
        <v>1862.9447325818421</v>
      </c>
      <c r="X42" s="30">
        <f t="shared" si="8"/>
        <v>1632.1464165416785</v>
      </c>
      <c r="Y42" s="30">
        <f t="shared" si="8"/>
        <v>1423.9888851615226</v>
      </c>
      <c r="Z42" s="30">
        <f t="shared" si="8"/>
        <v>1238.9912703917018</v>
      </c>
      <c r="AA42" s="30">
        <f t="shared" si="8"/>
        <v>1077.6834753933697</v>
      </c>
      <c r="AB42" s="30">
        <f t="shared" si="8"/>
        <v>940.60635359239973</v>
      </c>
      <c r="AC42" s="30">
        <f t="shared" si="8"/>
        <v>828.31188878242369</v>
      </c>
      <c r="AD42" s="30">
        <f t="shared" si="8"/>
        <v>741.36337617881281</v>
      </c>
      <c r="AE42" s="30">
        <f t="shared" si="8"/>
        <v>680.33560431856972</v>
      </c>
      <c r="AF42" s="30">
        <f t="shared" si="8"/>
        <v>645.81503769393066</v>
      </c>
      <c r="AG42" s="30">
        <f t="shared" si="8"/>
        <v>-2.5011104298755527E-12</v>
      </c>
      <c r="AH42" s="31"/>
      <c r="AI42" s="16"/>
      <c r="AJ42" s="16"/>
      <c r="AK42" s="4"/>
      <c r="AL42" s="5"/>
    </row>
    <row r="43" spans="1:38" ht="15.6">
      <c r="A43" s="22"/>
      <c r="B43" s="23"/>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c r="AI43" s="4"/>
      <c r="AJ43" s="4"/>
      <c r="AK43" s="4"/>
      <c r="AL43" s="5"/>
    </row>
    <row r="44" spans="1:38" ht="15.6">
      <c r="A44" s="22" t="s">
        <v>65</v>
      </c>
      <c r="B44" s="38">
        <f>AG41/Modelldaten!$C$35/(-1*C49)</f>
        <v>6.9950711301581425E-2</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31"/>
      <c r="AI44" s="4"/>
      <c r="AJ44" s="4"/>
      <c r="AK44" s="4"/>
      <c r="AL44" s="5"/>
    </row>
    <row r="45" spans="1:38" ht="15.6">
      <c r="A45" s="33" t="s">
        <v>66</v>
      </c>
      <c r="B45" s="23" t="s">
        <v>16</v>
      </c>
      <c r="C45" s="39">
        <v>0</v>
      </c>
      <c r="D45" s="40">
        <f>$B$44-Modelldaten!$C$32/(Modelldaten!$C$35/2)</f>
        <v>5.6617377968248089E-2</v>
      </c>
      <c r="E45" s="40">
        <f>$B$44-Modelldaten!$C$32/(Modelldaten!$C$35/2)</f>
        <v>5.6617377968248089E-2</v>
      </c>
      <c r="F45" s="40">
        <f>$B$44-Modelldaten!$C$32/(Modelldaten!$C$35/2)</f>
        <v>5.6617377968248089E-2</v>
      </c>
      <c r="G45" s="40">
        <f>$B$44-Modelldaten!$C$32/(Modelldaten!$C$35/2)</f>
        <v>5.6617377968248089E-2</v>
      </c>
      <c r="H45" s="40">
        <f>$B$44-Modelldaten!$C$32/(Modelldaten!$C$35/2)</f>
        <v>5.6617377968248089E-2</v>
      </c>
      <c r="I45" s="40">
        <f>$B$44-Modelldaten!$C$32/(Modelldaten!$C$35/2)</f>
        <v>5.6617377968248089E-2</v>
      </c>
      <c r="J45" s="40">
        <f>$B$44-Modelldaten!$C$32/(Modelldaten!$C$35/2)</f>
        <v>5.6617377968248089E-2</v>
      </c>
      <c r="K45" s="40">
        <f>$B$44-Modelldaten!$C$32/(Modelldaten!$C$35/2)</f>
        <v>5.6617377968248089E-2</v>
      </c>
      <c r="L45" s="40">
        <f>$B$44-Modelldaten!$C$32/(Modelldaten!$C$35/2)</f>
        <v>5.6617377968248089E-2</v>
      </c>
      <c r="M45" s="40">
        <f>$B$44-Modelldaten!$C$32/(Modelldaten!$C$35/2)</f>
        <v>5.6617377968248089E-2</v>
      </c>
      <c r="N45" s="40">
        <f>$B$44-Modelldaten!$C$32/(Modelldaten!$C$35/2)</f>
        <v>5.6617377968248089E-2</v>
      </c>
      <c r="O45" s="40">
        <f>$B$44-Modelldaten!$C$32/(Modelldaten!$C$35/2)</f>
        <v>5.6617377968248089E-2</v>
      </c>
      <c r="P45" s="40">
        <f>$B$44-Modelldaten!$C$32/(Modelldaten!$C$35/2)</f>
        <v>5.6617377968248089E-2</v>
      </c>
      <c r="Q45" s="40">
        <f>$B$44-Modelldaten!$C$32/(Modelldaten!$C$35/2)</f>
        <v>5.6617377968248089E-2</v>
      </c>
      <c r="R45" s="40">
        <f>$B$44-Modelldaten!$C$32/(Modelldaten!$C$35/2)</f>
        <v>5.6617377968248089E-2</v>
      </c>
      <c r="S45" s="40">
        <f>$B$44+Modelldaten!$C$32/(Modelldaten!$C$35/2)</f>
        <v>8.3284044634914761E-2</v>
      </c>
      <c r="T45" s="40">
        <f>$B$44+Modelldaten!$C$32/(Modelldaten!$C$35/2)</f>
        <v>8.3284044634914761E-2</v>
      </c>
      <c r="U45" s="40">
        <f>$B$44+Modelldaten!$C$32/(Modelldaten!$C$35/2)</f>
        <v>8.3284044634914761E-2</v>
      </c>
      <c r="V45" s="40">
        <f>$B$44+Modelldaten!$C$32/(Modelldaten!$C$35/2)</f>
        <v>8.3284044634914761E-2</v>
      </c>
      <c r="W45" s="40">
        <f>$B$44+Modelldaten!$C$32/(Modelldaten!$C$35/2)</f>
        <v>8.3284044634914761E-2</v>
      </c>
      <c r="X45" s="40">
        <f>$B$44+Modelldaten!$C$32/(Modelldaten!$C$35/2)</f>
        <v>8.3284044634914761E-2</v>
      </c>
      <c r="Y45" s="40">
        <f>$B$44+Modelldaten!$C$32/(Modelldaten!$C$35/2)</f>
        <v>8.3284044634914761E-2</v>
      </c>
      <c r="Z45" s="40">
        <f>$B$44+Modelldaten!$C$32/(Modelldaten!$C$35/2)</f>
        <v>8.3284044634914761E-2</v>
      </c>
      <c r="AA45" s="40">
        <f>$B$44+Modelldaten!$C$32/(Modelldaten!$C$35/2)</f>
        <v>8.3284044634914761E-2</v>
      </c>
      <c r="AB45" s="40">
        <f>$B$44+Modelldaten!$C$32/(Modelldaten!$C$35/2)</f>
        <v>8.3284044634914761E-2</v>
      </c>
      <c r="AC45" s="40">
        <f>$B$44+Modelldaten!$C$32/(Modelldaten!$C$35/2)</f>
        <v>8.3284044634914761E-2</v>
      </c>
      <c r="AD45" s="40">
        <f>$B$44+Modelldaten!$C$32/(Modelldaten!$C$35/2)</f>
        <v>8.3284044634914761E-2</v>
      </c>
      <c r="AE45" s="40">
        <f>$B$44+Modelldaten!$C$32/(Modelldaten!$C$35/2)</f>
        <v>8.3284044634914761E-2</v>
      </c>
      <c r="AF45" s="40">
        <f>$B$44+Modelldaten!$C$32/(Modelldaten!$C$35/2)</f>
        <v>8.3284044634914761E-2</v>
      </c>
      <c r="AG45" s="40">
        <f>$B$44+Modelldaten!$C$32/(Modelldaten!$C$35/2)</f>
        <v>8.3284044634914761E-2</v>
      </c>
      <c r="AH45" s="31"/>
      <c r="AI45" s="4"/>
      <c r="AJ45" s="4"/>
      <c r="AK45" s="4"/>
      <c r="AL45" s="5"/>
    </row>
    <row r="46" spans="1:38" ht="15.6">
      <c r="A46" s="22" t="s">
        <v>67</v>
      </c>
      <c r="B46" s="23" t="s">
        <v>16</v>
      </c>
      <c r="C46" s="39">
        <f>C45</f>
        <v>0</v>
      </c>
      <c r="D46" s="39">
        <f t="shared" ref="D46:AG46" si="9">C46+D45</f>
        <v>5.6617377968248089E-2</v>
      </c>
      <c r="E46" s="39">
        <f t="shared" si="9"/>
        <v>0.11323475593649618</v>
      </c>
      <c r="F46" s="39">
        <f t="shared" si="9"/>
        <v>0.16985213390474427</v>
      </c>
      <c r="G46" s="39">
        <f t="shared" si="9"/>
        <v>0.22646951187299236</v>
      </c>
      <c r="H46" s="39">
        <f t="shared" si="9"/>
        <v>0.28308688984124042</v>
      </c>
      <c r="I46" s="39">
        <f t="shared" si="9"/>
        <v>0.33970426780948848</v>
      </c>
      <c r="J46" s="39">
        <f t="shared" si="9"/>
        <v>0.39632164577773654</v>
      </c>
      <c r="K46" s="39">
        <f t="shared" si="9"/>
        <v>0.4529390237459846</v>
      </c>
      <c r="L46" s="39">
        <f t="shared" si="9"/>
        <v>0.50955640171423267</v>
      </c>
      <c r="M46" s="39">
        <f t="shared" si="9"/>
        <v>0.56617377968248073</v>
      </c>
      <c r="N46" s="39">
        <f t="shared" si="9"/>
        <v>0.62279115765072879</v>
      </c>
      <c r="O46" s="39">
        <f t="shared" si="9"/>
        <v>0.67940853561897685</v>
      </c>
      <c r="P46" s="39">
        <f t="shared" si="9"/>
        <v>0.73602591358722491</v>
      </c>
      <c r="Q46" s="39">
        <f t="shared" si="9"/>
        <v>0.79264329155547297</v>
      </c>
      <c r="R46" s="39">
        <f t="shared" si="9"/>
        <v>0.84926066952372103</v>
      </c>
      <c r="S46" s="39">
        <f t="shared" si="9"/>
        <v>0.93254471415863582</v>
      </c>
      <c r="T46" s="39">
        <f t="shared" si="9"/>
        <v>1.0158287587935506</v>
      </c>
      <c r="U46" s="39">
        <f t="shared" si="9"/>
        <v>1.0991128034284654</v>
      </c>
      <c r="V46" s="39">
        <f t="shared" si="9"/>
        <v>1.1823968480633802</v>
      </c>
      <c r="W46" s="39">
        <f t="shared" si="9"/>
        <v>1.265680892698295</v>
      </c>
      <c r="X46" s="39">
        <f t="shared" si="9"/>
        <v>1.3489649373332098</v>
      </c>
      <c r="Y46" s="39">
        <f t="shared" si="9"/>
        <v>1.4322489819681246</v>
      </c>
      <c r="Z46" s="39">
        <f t="shared" si="9"/>
        <v>1.5155330266030393</v>
      </c>
      <c r="AA46" s="39">
        <f t="shared" si="9"/>
        <v>1.5988170712379541</v>
      </c>
      <c r="AB46" s="39">
        <f t="shared" si="9"/>
        <v>1.6821011158728689</v>
      </c>
      <c r="AC46" s="39">
        <f t="shared" si="9"/>
        <v>1.7653851605077837</v>
      </c>
      <c r="AD46" s="39">
        <f t="shared" si="9"/>
        <v>1.8486692051426985</v>
      </c>
      <c r="AE46" s="39">
        <f t="shared" si="9"/>
        <v>1.9319532497776133</v>
      </c>
      <c r="AF46" s="39">
        <f t="shared" si="9"/>
        <v>2.0152372944125281</v>
      </c>
      <c r="AG46" s="39">
        <f t="shared" si="9"/>
        <v>2.0985213390474429</v>
      </c>
      <c r="AH46" s="31"/>
      <c r="AI46" s="4"/>
      <c r="AJ46" s="4"/>
      <c r="AK46" s="4"/>
      <c r="AL46" s="5"/>
    </row>
    <row r="47" spans="1:38">
      <c r="A47" s="22"/>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2"/>
      <c r="AI47" s="43"/>
      <c r="AJ47" s="43"/>
      <c r="AK47" s="43"/>
    </row>
    <row r="48" spans="1:38">
      <c r="A48" s="22"/>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2"/>
      <c r="AI48" s="43"/>
      <c r="AJ48" s="43"/>
      <c r="AK48" s="43"/>
    </row>
    <row r="49" spans="1:37">
      <c r="A49" s="27" t="s">
        <v>68</v>
      </c>
      <c r="B49" s="23" t="s">
        <v>14</v>
      </c>
      <c r="C49" s="44">
        <f>-Modelldaten!$C$18+C37</f>
        <v>-12768</v>
      </c>
      <c r="D49" s="42">
        <f t="shared" ref="D49:AG49" si="10">C49+D38</f>
        <v>-12045.109318101408</v>
      </c>
      <c r="E49" s="42">
        <f t="shared" si="10"/>
        <v>-11322.218636202815</v>
      </c>
      <c r="F49" s="42">
        <f t="shared" si="10"/>
        <v>-10599.327954304223</v>
      </c>
      <c r="G49" s="42">
        <f t="shared" si="10"/>
        <v>-9876.4372724056302</v>
      </c>
      <c r="H49" s="42">
        <f t="shared" si="10"/>
        <v>-9153.5465905070378</v>
      </c>
      <c r="I49" s="42">
        <f t="shared" si="10"/>
        <v>-8430.6559086084453</v>
      </c>
      <c r="J49" s="42">
        <f t="shared" si="10"/>
        <v>-7707.7652267098538</v>
      </c>
      <c r="K49" s="42">
        <f t="shared" si="10"/>
        <v>-6984.8745448112622</v>
      </c>
      <c r="L49" s="42">
        <f t="shared" si="10"/>
        <v>-6261.9838629126707</v>
      </c>
      <c r="M49" s="42">
        <f t="shared" si="10"/>
        <v>-5539.0931810140792</v>
      </c>
      <c r="N49" s="42">
        <f t="shared" si="10"/>
        <v>-4816.2024991154876</v>
      </c>
      <c r="O49" s="42">
        <f t="shared" si="10"/>
        <v>-4093.3118172168961</v>
      </c>
      <c r="P49" s="42">
        <f t="shared" si="10"/>
        <v>-3370.4211353183046</v>
      </c>
      <c r="Q49" s="42">
        <f t="shared" si="10"/>
        <v>-2647.530453419713</v>
      </c>
      <c r="R49" s="42">
        <f t="shared" si="10"/>
        <v>-1924.6397715211215</v>
      </c>
      <c r="S49" s="42">
        <f t="shared" si="10"/>
        <v>-861.26908962252969</v>
      </c>
      <c r="T49" s="42">
        <f t="shared" si="10"/>
        <v>202.10159227606209</v>
      </c>
      <c r="U49" s="42">
        <f t="shared" si="10"/>
        <v>1265.4722741746539</v>
      </c>
      <c r="V49" s="42">
        <f t="shared" si="10"/>
        <v>2328.8429560732457</v>
      </c>
      <c r="W49" s="42">
        <f t="shared" si="10"/>
        <v>3392.2136379718377</v>
      </c>
      <c r="X49" s="42">
        <f t="shared" si="10"/>
        <v>4455.5843198704297</v>
      </c>
      <c r="Y49" s="42">
        <f t="shared" si="10"/>
        <v>5518.9550017690217</v>
      </c>
      <c r="Z49" s="42">
        <f t="shared" si="10"/>
        <v>6582.3256836676137</v>
      </c>
      <c r="AA49" s="42">
        <f t="shared" si="10"/>
        <v>7645.6963655662057</v>
      </c>
      <c r="AB49" s="42">
        <f t="shared" si="10"/>
        <v>8709.0670474647977</v>
      </c>
      <c r="AC49" s="42">
        <f t="shared" si="10"/>
        <v>9772.4377293633897</v>
      </c>
      <c r="AD49" s="42">
        <f t="shared" si="10"/>
        <v>10835.808411261982</v>
      </c>
      <c r="AE49" s="42">
        <f t="shared" si="10"/>
        <v>11899.179093160574</v>
      </c>
      <c r="AF49" s="42">
        <f t="shared" si="10"/>
        <v>12962.549775059166</v>
      </c>
      <c r="AG49" s="42">
        <f t="shared" si="10"/>
        <v>14025.920456957758</v>
      </c>
      <c r="AH49" s="42"/>
      <c r="AI49" s="43"/>
      <c r="AJ49" s="43"/>
      <c r="AK49" s="43"/>
    </row>
    <row r="50" spans="1:37">
      <c r="AI50" s="43"/>
      <c r="AJ50" s="43"/>
      <c r="AK50" s="43"/>
    </row>
    <row r="51" spans="1:37">
      <c r="D51" s="1" t="s">
        <v>68</v>
      </c>
      <c r="V51" s="1" t="s">
        <v>59</v>
      </c>
      <c r="AI51" s="43"/>
      <c r="AJ51" s="43"/>
      <c r="AK51" s="43"/>
    </row>
    <row r="52" spans="1:37">
      <c r="C52" s="1"/>
      <c r="D52" t="s">
        <v>69</v>
      </c>
      <c r="V52" s="2" t="s">
        <v>69</v>
      </c>
      <c r="AI52" s="43"/>
      <c r="AJ52" s="43"/>
      <c r="AK52" s="43"/>
    </row>
    <row r="53" spans="1:37">
      <c r="AI53" s="43"/>
      <c r="AJ53" s="43"/>
    </row>
    <row r="54" spans="1:37">
      <c r="AI54" s="43"/>
      <c r="AJ54" s="43"/>
      <c r="AK54" s="43"/>
    </row>
    <row r="55" spans="1:37">
      <c r="AI55" s="43"/>
      <c r="AJ55" s="43"/>
      <c r="AK55" s="43"/>
    </row>
    <row r="56" spans="1:37">
      <c r="AI56" s="43"/>
      <c r="AJ56" s="43"/>
      <c r="AK56" s="43"/>
    </row>
    <row r="57" spans="1:37">
      <c r="AI57" s="43"/>
      <c r="AJ57" s="43"/>
      <c r="AK57" s="43"/>
    </row>
    <row r="58" spans="1:37">
      <c r="AI58" s="43"/>
      <c r="AJ58" s="43"/>
      <c r="AK58" s="43"/>
    </row>
    <row r="59" spans="1:37">
      <c r="AI59" s="43"/>
      <c r="AJ59" s="43"/>
      <c r="AK59" s="43"/>
    </row>
    <row r="60" spans="1:37">
      <c r="AI60" s="43"/>
      <c r="AJ60" s="43"/>
      <c r="AK60" s="43"/>
    </row>
    <row r="61" spans="1:37">
      <c r="AI61" s="43"/>
      <c r="AJ61" s="43"/>
      <c r="AK61" s="43"/>
    </row>
    <row r="62" spans="1:37">
      <c r="AI62" s="43"/>
      <c r="AJ62" s="43"/>
      <c r="AK62" s="43"/>
    </row>
    <row r="63" spans="1:37">
      <c r="AI63" s="43"/>
      <c r="AJ63" s="43"/>
      <c r="AK63" s="43"/>
    </row>
    <row r="64" spans="1:37">
      <c r="AI64" s="43"/>
      <c r="AJ64" s="43"/>
      <c r="AK64" s="43"/>
    </row>
    <row r="65" spans="35:37">
      <c r="AI65" s="43"/>
      <c r="AJ65" s="43"/>
      <c r="AK65" s="43"/>
    </row>
    <row r="66" spans="35:37">
      <c r="AI66" s="43"/>
      <c r="AJ66" s="43"/>
      <c r="AK66" s="43"/>
    </row>
    <row r="67" spans="35:37">
      <c r="AI67" s="43"/>
      <c r="AJ67" s="43"/>
      <c r="AK67" s="43"/>
    </row>
    <row r="68" spans="35:37">
      <c r="AI68" s="43"/>
      <c r="AJ68" s="43"/>
      <c r="AK68" s="43"/>
    </row>
    <row r="69" spans="35:37">
      <c r="AI69" s="43"/>
      <c r="AJ69" s="43"/>
      <c r="AK69" s="43"/>
    </row>
    <row r="70" spans="35:37">
      <c r="AI70" s="43"/>
      <c r="AJ70" s="43"/>
      <c r="AK70" s="43"/>
    </row>
    <row r="71" spans="35:37">
      <c r="AI71" s="43"/>
      <c r="AJ71" s="43"/>
      <c r="AK71" s="43"/>
    </row>
    <row r="72" spans="35:37">
      <c r="AI72" s="43"/>
      <c r="AJ72" s="43"/>
      <c r="AK72" s="43"/>
    </row>
    <row r="73" spans="35:37">
      <c r="AI73" s="43"/>
      <c r="AJ73" s="43"/>
      <c r="AK73" s="43"/>
    </row>
    <row r="74" spans="35:37">
      <c r="AI74" s="43"/>
      <c r="AJ74" s="43"/>
      <c r="AK74" s="43"/>
    </row>
    <row r="75" spans="35:37">
      <c r="AI75" s="43"/>
      <c r="AJ75" s="43"/>
      <c r="AK75" s="43"/>
    </row>
    <row r="76" spans="35:37">
      <c r="AI76" s="43"/>
      <c r="AJ76" s="43"/>
      <c r="AK76" s="43"/>
    </row>
    <row r="77" spans="35:37">
      <c r="AI77" s="43"/>
      <c r="AJ77" s="43"/>
      <c r="AK77" s="43"/>
    </row>
    <row r="78" spans="35:37">
      <c r="AI78" s="43"/>
      <c r="AJ78" s="43"/>
      <c r="AK78" s="43"/>
    </row>
    <row r="79" spans="35:37">
      <c r="AI79" s="43"/>
      <c r="AJ79" s="43"/>
      <c r="AK79" s="43"/>
    </row>
    <row r="80" spans="35:37">
      <c r="AI80" s="43"/>
      <c r="AJ80" s="43"/>
      <c r="AK80" s="43"/>
    </row>
    <row r="81" spans="1:38">
      <c r="AI81" s="43"/>
      <c r="AJ81" s="43"/>
      <c r="AK81" s="43"/>
    </row>
    <row r="82" spans="1:38">
      <c r="AI82" s="43"/>
      <c r="AJ82" s="43"/>
      <c r="AK82" s="43"/>
    </row>
    <row r="83" spans="1:38">
      <c r="AI83" s="43"/>
      <c r="AJ83" s="43"/>
      <c r="AK83" s="43"/>
    </row>
    <row r="84" spans="1:38">
      <c r="AI84" s="43"/>
      <c r="AJ84" s="43"/>
      <c r="AK84" s="43"/>
    </row>
    <row r="85" spans="1:38">
      <c r="A85" s="1" t="s">
        <v>70</v>
      </c>
      <c r="AI85" s="43"/>
      <c r="AJ85" s="43"/>
      <c r="AK85" s="43"/>
    </row>
    <row r="86" spans="1:38" ht="15.6">
      <c r="A86" s="22"/>
      <c r="B86" s="23"/>
      <c r="C86" s="24" t="s">
        <v>36</v>
      </c>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5"/>
      <c r="AI86" s="4"/>
      <c r="AJ86" s="4"/>
      <c r="AK86" s="4"/>
      <c r="AL86" s="5"/>
    </row>
    <row r="87" spans="1:38" ht="15.6">
      <c r="A87" s="22"/>
      <c r="B87" s="23"/>
      <c r="C87" s="26">
        <v>0</v>
      </c>
      <c r="D87" s="26">
        <v>1</v>
      </c>
      <c r="E87" s="26">
        <v>2</v>
      </c>
      <c r="F87" s="26">
        <v>3</v>
      </c>
      <c r="G87" s="26">
        <v>4</v>
      </c>
      <c r="H87" s="26">
        <v>5</v>
      </c>
      <c r="I87" s="26">
        <v>6</v>
      </c>
      <c r="J87" s="26">
        <v>7</v>
      </c>
      <c r="K87" s="26">
        <v>8</v>
      </c>
      <c r="L87" s="26">
        <v>9</v>
      </c>
      <c r="M87" s="26">
        <v>10</v>
      </c>
      <c r="N87" s="26">
        <v>11</v>
      </c>
      <c r="O87" s="26">
        <v>12</v>
      </c>
      <c r="P87" s="26">
        <v>13</v>
      </c>
      <c r="Q87" s="26">
        <v>14</v>
      </c>
      <c r="R87" s="26">
        <v>15</v>
      </c>
      <c r="S87" s="26">
        <v>16</v>
      </c>
      <c r="T87" s="26">
        <v>17</v>
      </c>
      <c r="U87" s="26">
        <v>18</v>
      </c>
      <c r="V87" s="26">
        <v>19</v>
      </c>
      <c r="W87" s="26">
        <v>20</v>
      </c>
      <c r="X87" s="26">
        <v>21</v>
      </c>
      <c r="Y87" s="26">
        <v>22</v>
      </c>
      <c r="Z87" s="26">
        <v>23</v>
      </c>
      <c r="AA87" s="26">
        <v>24</v>
      </c>
      <c r="AB87" s="26">
        <v>25</v>
      </c>
      <c r="AC87" s="26">
        <v>26</v>
      </c>
      <c r="AD87" s="26">
        <v>27</v>
      </c>
      <c r="AE87" s="26">
        <v>28</v>
      </c>
      <c r="AF87" s="26">
        <v>29</v>
      </c>
      <c r="AG87" s="26">
        <v>30</v>
      </c>
      <c r="AH87" s="25" t="s">
        <v>71</v>
      </c>
      <c r="AI87" s="4"/>
      <c r="AJ87" s="4"/>
      <c r="AK87" s="4"/>
      <c r="AL87" s="5"/>
    </row>
    <row r="88" spans="1:38" ht="15.6">
      <c r="A88" s="27" t="s">
        <v>72</v>
      </c>
      <c r="B88" s="23" t="s">
        <v>73</v>
      </c>
      <c r="C88" s="26">
        <f t="shared" ref="C88:AG91" si="11">C9</f>
        <v>4468.8</v>
      </c>
      <c r="D88" s="26">
        <f t="shared" si="11"/>
        <v>6384</v>
      </c>
      <c r="E88" s="26">
        <f t="shared" si="11"/>
        <v>6352.08</v>
      </c>
      <c r="F88" s="26">
        <f t="shared" si="11"/>
        <v>6320.16</v>
      </c>
      <c r="G88" s="26">
        <f t="shared" si="11"/>
        <v>6288.24</v>
      </c>
      <c r="H88" s="26">
        <f t="shared" si="11"/>
        <v>6256.32</v>
      </c>
      <c r="I88" s="26">
        <f t="shared" si="11"/>
        <v>6224.4</v>
      </c>
      <c r="J88" s="26">
        <f t="shared" si="11"/>
        <v>6192.48</v>
      </c>
      <c r="K88" s="26">
        <f t="shared" si="11"/>
        <v>6160.5599999999995</v>
      </c>
      <c r="L88" s="26">
        <f t="shared" si="11"/>
        <v>6128.6399999999994</v>
      </c>
      <c r="M88" s="26">
        <f t="shared" si="11"/>
        <v>6096.7199999999993</v>
      </c>
      <c r="N88" s="26">
        <f t="shared" si="11"/>
        <v>6064.7999999999993</v>
      </c>
      <c r="O88" s="26">
        <f t="shared" si="11"/>
        <v>6032.88</v>
      </c>
      <c r="P88" s="26">
        <f t="shared" si="11"/>
        <v>6000.96</v>
      </c>
      <c r="Q88" s="26">
        <f t="shared" si="11"/>
        <v>5969.04</v>
      </c>
      <c r="R88" s="26">
        <f t="shared" si="11"/>
        <v>5937.12</v>
      </c>
      <c r="S88" s="26">
        <f t="shared" si="11"/>
        <v>5905.2000000000007</v>
      </c>
      <c r="T88" s="26">
        <f t="shared" si="11"/>
        <v>5873.2800000000007</v>
      </c>
      <c r="U88" s="26">
        <f t="shared" si="11"/>
        <v>5841.3600000000006</v>
      </c>
      <c r="V88" s="26">
        <f t="shared" si="11"/>
        <v>5809.4400000000005</v>
      </c>
      <c r="W88" s="26">
        <f t="shared" si="11"/>
        <v>5777.52</v>
      </c>
      <c r="X88" s="26">
        <f t="shared" si="11"/>
        <v>5745.6</v>
      </c>
      <c r="Y88" s="26">
        <f t="shared" si="11"/>
        <v>5713.68</v>
      </c>
      <c r="Z88" s="26">
        <f t="shared" si="11"/>
        <v>5681.76</v>
      </c>
      <c r="AA88" s="26">
        <f t="shared" si="11"/>
        <v>5649.84</v>
      </c>
      <c r="AB88" s="26">
        <f t="shared" si="11"/>
        <v>5617.92</v>
      </c>
      <c r="AC88" s="26">
        <f t="shared" si="11"/>
        <v>5586</v>
      </c>
      <c r="AD88" s="26">
        <f t="shared" si="11"/>
        <v>5554.08</v>
      </c>
      <c r="AE88" s="26">
        <f t="shared" si="11"/>
        <v>5522.16</v>
      </c>
      <c r="AF88" s="26">
        <f t="shared" si="11"/>
        <v>5490.24</v>
      </c>
      <c r="AG88" s="26">
        <f t="shared" si="11"/>
        <v>5458.32</v>
      </c>
      <c r="AH88" s="28">
        <f>SUM(C88:AG88)</f>
        <v>182103.6</v>
      </c>
      <c r="AI88" s="4"/>
      <c r="AJ88" s="4"/>
      <c r="AK88" s="4"/>
      <c r="AL88" s="5"/>
    </row>
    <row r="89" spans="1:38" ht="15.6">
      <c r="A89" s="22" t="s">
        <v>40</v>
      </c>
      <c r="B89" s="23" t="s">
        <v>39</v>
      </c>
      <c r="C89" s="26">
        <f t="shared" si="11"/>
        <v>1117.2</v>
      </c>
      <c r="D89" s="26">
        <f t="shared" si="11"/>
        <v>1596</v>
      </c>
      <c r="E89" s="26">
        <f t="shared" si="11"/>
        <v>1588.02</v>
      </c>
      <c r="F89" s="26">
        <f t="shared" si="11"/>
        <v>1580.04</v>
      </c>
      <c r="G89" s="26">
        <f t="shared" si="11"/>
        <v>1572.06</v>
      </c>
      <c r="H89" s="26">
        <f t="shared" si="11"/>
        <v>1564.08</v>
      </c>
      <c r="I89" s="26">
        <f t="shared" si="11"/>
        <v>1556.1</v>
      </c>
      <c r="J89" s="26">
        <f t="shared" si="11"/>
        <v>1548.12</v>
      </c>
      <c r="K89" s="26">
        <f t="shared" si="11"/>
        <v>1540.1399999999999</v>
      </c>
      <c r="L89" s="26">
        <f t="shared" si="11"/>
        <v>1532.1599999999999</v>
      </c>
      <c r="M89" s="26">
        <f t="shared" si="11"/>
        <v>1524.1799999999998</v>
      </c>
      <c r="N89" s="26">
        <f t="shared" si="11"/>
        <v>1516.1999999999998</v>
      </c>
      <c r="O89" s="26">
        <f t="shared" si="11"/>
        <v>1508.22</v>
      </c>
      <c r="P89" s="26">
        <f t="shared" si="11"/>
        <v>1500.24</v>
      </c>
      <c r="Q89" s="26">
        <f t="shared" si="11"/>
        <v>1492.26</v>
      </c>
      <c r="R89" s="26">
        <f t="shared" si="11"/>
        <v>1484.28</v>
      </c>
      <c r="S89" s="26">
        <f t="shared" si="11"/>
        <v>1476.3000000000002</v>
      </c>
      <c r="T89" s="26">
        <f t="shared" si="11"/>
        <v>1468.3200000000002</v>
      </c>
      <c r="U89" s="26">
        <f t="shared" si="11"/>
        <v>1460.3400000000001</v>
      </c>
      <c r="V89" s="26">
        <f t="shared" si="11"/>
        <v>1452.3600000000001</v>
      </c>
      <c r="W89" s="26">
        <f t="shared" si="11"/>
        <v>1444.38</v>
      </c>
      <c r="X89" s="26">
        <f t="shared" si="11"/>
        <v>1436.4</v>
      </c>
      <c r="Y89" s="26">
        <f t="shared" si="11"/>
        <v>1428.42</v>
      </c>
      <c r="Z89" s="26">
        <f t="shared" si="11"/>
        <v>1420.44</v>
      </c>
      <c r="AA89" s="26">
        <f t="shared" si="11"/>
        <v>1412.46</v>
      </c>
      <c r="AB89" s="26">
        <f t="shared" si="11"/>
        <v>1404.48</v>
      </c>
      <c r="AC89" s="26">
        <f t="shared" si="11"/>
        <v>1396.5</v>
      </c>
      <c r="AD89" s="26">
        <f t="shared" si="11"/>
        <v>1388.52</v>
      </c>
      <c r="AE89" s="26">
        <f t="shared" si="11"/>
        <v>1380.54</v>
      </c>
      <c r="AF89" s="26">
        <f t="shared" si="11"/>
        <v>1372.56</v>
      </c>
      <c r="AG89" s="26">
        <f t="shared" si="11"/>
        <v>1364.58</v>
      </c>
      <c r="AH89" s="25"/>
      <c r="AI89" s="4"/>
      <c r="AJ89" s="4"/>
      <c r="AK89" s="4"/>
      <c r="AL89" s="5"/>
    </row>
    <row r="90" spans="1:38" ht="15.6">
      <c r="A90" s="22" t="s">
        <v>41</v>
      </c>
      <c r="B90" s="23" t="s">
        <v>39</v>
      </c>
      <c r="C90" s="26">
        <f t="shared" si="11"/>
        <v>3351.6000000000004</v>
      </c>
      <c r="D90" s="26">
        <f t="shared" si="11"/>
        <v>4788</v>
      </c>
      <c r="E90" s="26">
        <f t="shared" si="11"/>
        <v>4764.0599999999995</v>
      </c>
      <c r="F90" s="26">
        <f t="shared" si="11"/>
        <v>4740.12</v>
      </c>
      <c r="G90" s="26">
        <f t="shared" si="11"/>
        <v>4716.18</v>
      </c>
      <c r="H90" s="26">
        <f t="shared" si="11"/>
        <v>4692.24</v>
      </c>
      <c r="I90" s="26">
        <f t="shared" si="11"/>
        <v>4668.2999999999993</v>
      </c>
      <c r="J90" s="26">
        <f t="shared" si="11"/>
        <v>4644.3599999999997</v>
      </c>
      <c r="K90" s="26">
        <f t="shared" si="11"/>
        <v>4620.42</v>
      </c>
      <c r="L90" s="26">
        <f t="shared" si="11"/>
        <v>4596.4799999999996</v>
      </c>
      <c r="M90" s="26">
        <f t="shared" si="11"/>
        <v>4572.5399999999991</v>
      </c>
      <c r="N90" s="26">
        <f t="shared" si="11"/>
        <v>4548.5999999999995</v>
      </c>
      <c r="O90" s="26">
        <f t="shared" si="11"/>
        <v>4524.66</v>
      </c>
      <c r="P90" s="26">
        <f t="shared" si="11"/>
        <v>4500.72</v>
      </c>
      <c r="Q90" s="26">
        <f t="shared" si="11"/>
        <v>4476.78</v>
      </c>
      <c r="R90" s="26">
        <f t="shared" si="11"/>
        <v>4452.84</v>
      </c>
      <c r="S90" s="26">
        <f t="shared" si="11"/>
        <v>4428.9000000000005</v>
      </c>
      <c r="T90" s="26">
        <f t="shared" si="11"/>
        <v>4404.9600000000009</v>
      </c>
      <c r="U90" s="26">
        <f t="shared" si="11"/>
        <v>4381.0200000000004</v>
      </c>
      <c r="V90" s="26">
        <f t="shared" si="11"/>
        <v>4357.08</v>
      </c>
      <c r="W90" s="26">
        <f t="shared" si="11"/>
        <v>4333.1400000000003</v>
      </c>
      <c r="X90" s="26">
        <f t="shared" si="11"/>
        <v>4309.2000000000007</v>
      </c>
      <c r="Y90" s="26">
        <f t="shared" si="11"/>
        <v>4285.26</v>
      </c>
      <c r="Z90" s="26">
        <f t="shared" si="11"/>
        <v>4261.32</v>
      </c>
      <c r="AA90" s="26">
        <f t="shared" si="11"/>
        <v>4237.38</v>
      </c>
      <c r="AB90" s="26">
        <f t="shared" si="11"/>
        <v>4213.4400000000005</v>
      </c>
      <c r="AC90" s="26">
        <f t="shared" si="11"/>
        <v>4189.5</v>
      </c>
      <c r="AD90" s="26">
        <f t="shared" si="11"/>
        <v>4165.5599999999995</v>
      </c>
      <c r="AE90" s="26">
        <f t="shared" si="11"/>
        <v>4141.62</v>
      </c>
      <c r="AF90" s="26">
        <f t="shared" si="11"/>
        <v>4117.68</v>
      </c>
      <c r="AG90" s="26">
        <f t="shared" si="11"/>
        <v>4093.74</v>
      </c>
      <c r="AH90" s="25"/>
      <c r="AI90" s="4"/>
      <c r="AJ90" s="4"/>
      <c r="AK90" s="4"/>
      <c r="AL90" s="5"/>
    </row>
    <row r="91" spans="1:38" ht="15.6">
      <c r="A91" s="22" t="s">
        <v>42</v>
      </c>
      <c r="B91" s="23" t="s">
        <v>5</v>
      </c>
      <c r="C91" s="26">
        <f t="shared" si="11"/>
        <v>665</v>
      </c>
      <c r="D91" s="26">
        <f t="shared" si="11"/>
        <v>950</v>
      </c>
      <c r="E91" s="26">
        <f t="shared" si="11"/>
        <v>945.25</v>
      </c>
      <c r="F91" s="26">
        <f t="shared" si="11"/>
        <v>940.5</v>
      </c>
      <c r="G91" s="26">
        <f t="shared" si="11"/>
        <v>935.75</v>
      </c>
      <c r="H91" s="26">
        <f t="shared" si="11"/>
        <v>931</v>
      </c>
      <c r="I91" s="26">
        <f t="shared" si="11"/>
        <v>926.25</v>
      </c>
      <c r="J91" s="26">
        <f t="shared" si="11"/>
        <v>921.5</v>
      </c>
      <c r="K91" s="26">
        <f t="shared" si="11"/>
        <v>916.75</v>
      </c>
      <c r="L91" s="26">
        <f t="shared" si="11"/>
        <v>912</v>
      </c>
      <c r="M91" s="26">
        <f t="shared" si="11"/>
        <v>907.24999999999989</v>
      </c>
      <c r="N91" s="26">
        <f t="shared" si="11"/>
        <v>902.49999999999989</v>
      </c>
      <c r="O91" s="26">
        <f t="shared" si="11"/>
        <v>897.75</v>
      </c>
      <c r="P91" s="26">
        <f t="shared" si="11"/>
        <v>893</v>
      </c>
      <c r="Q91" s="26">
        <f t="shared" si="11"/>
        <v>888.25</v>
      </c>
      <c r="R91" s="26">
        <f t="shared" si="11"/>
        <v>883.5</v>
      </c>
      <c r="S91" s="26">
        <f t="shared" si="11"/>
        <v>878.75000000000011</v>
      </c>
      <c r="T91" s="26">
        <f t="shared" si="11"/>
        <v>874.00000000000011</v>
      </c>
      <c r="U91" s="26">
        <f t="shared" si="11"/>
        <v>869.25000000000011</v>
      </c>
      <c r="V91" s="26">
        <f t="shared" si="11"/>
        <v>864.50000000000011</v>
      </c>
      <c r="W91" s="26">
        <f t="shared" si="11"/>
        <v>859.75000000000011</v>
      </c>
      <c r="X91" s="26">
        <f t="shared" si="11"/>
        <v>855.00000000000011</v>
      </c>
      <c r="Y91" s="26">
        <f t="shared" si="11"/>
        <v>850.25000000000011</v>
      </c>
      <c r="Z91" s="26">
        <f t="shared" si="11"/>
        <v>845.50000000000011</v>
      </c>
      <c r="AA91" s="26">
        <f t="shared" si="11"/>
        <v>840.75</v>
      </c>
      <c r="AB91" s="26">
        <f t="shared" si="11"/>
        <v>836</v>
      </c>
      <c r="AC91" s="26">
        <f t="shared" si="11"/>
        <v>831.25</v>
      </c>
      <c r="AD91" s="26">
        <f t="shared" si="11"/>
        <v>826.5</v>
      </c>
      <c r="AE91" s="26">
        <f t="shared" si="11"/>
        <v>821.75</v>
      </c>
      <c r="AF91" s="26">
        <f t="shared" si="11"/>
        <v>817</v>
      </c>
      <c r="AG91" s="26">
        <f t="shared" si="11"/>
        <v>812.25</v>
      </c>
      <c r="AH91" s="25"/>
      <c r="AI91" s="4"/>
      <c r="AJ91" s="4"/>
      <c r="AK91" s="4"/>
      <c r="AL91" s="5"/>
    </row>
    <row r="92" spans="1:38" ht="15.6">
      <c r="A92" s="27" t="s">
        <v>74</v>
      </c>
      <c r="B92" s="23" t="s">
        <v>73</v>
      </c>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8"/>
      <c r="AI92" s="43"/>
      <c r="AJ92" s="43"/>
      <c r="AK92" s="43"/>
    </row>
    <row r="93" spans="1:38" ht="15.6">
      <c r="A93" s="22" t="s">
        <v>40</v>
      </c>
      <c r="B93" s="23" t="s">
        <v>39</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5"/>
      <c r="AI93" s="43"/>
      <c r="AJ93" s="43"/>
      <c r="AK93" s="43"/>
    </row>
    <row r="94" spans="1:38" ht="15.6">
      <c r="A94" s="22" t="s">
        <v>41</v>
      </c>
      <c r="B94" s="23" t="s">
        <v>39</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5"/>
      <c r="AI94" s="43"/>
      <c r="AJ94" s="43"/>
      <c r="AK94" s="43"/>
    </row>
    <row r="95" spans="1:38" ht="15.6">
      <c r="A95" s="22" t="s">
        <v>42</v>
      </c>
      <c r="B95" s="23" t="s">
        <v>5</v>
      </c>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5"/>
      <c r="AI95" s="43"/>
      <c r="AJ95" s="43"/>
      <c r="AK95" s="43"/>
    </row>
    <row r="96" spans="1:38">
      <c r="AI96" s="43"/>
      <c r="AJ96" s="43"/>
      <c r="AK96" s="43"/>
    </row>
    <row r="97" spans="1:37">
      <c r="A97" s="22" t="s">
        <v>75</v>
      </c>
      <c r="B97" s="23" t="s">
        <v>14</v>
      </c>
      <c r="C97" s="45">
        <f t="shared" ref="C97:AG97" si="12">C38</f>
        <v>0</v>
      </c>
      <c r="D97" s="45">
        <f t="shared" si="12"/>
        <v>722.89068189859165</v>
      </c>
      <c r="E97" s="45">
        <f t="shared" si="12"/>
        <v>722.89068189859165</v>
      </c>
      <c r="F97" s="45">
        <f t="shared" si="12"/>
        <v>722.89068189859165</v>
      </c>
      <c r="G97" s="45">
        <f t="shared" si="12"/>
        <v>722.89068189859165</v>
      </c>
      <c r="H97" s="45">
        <f t="shared" si="12"/>
        <v>722.89068189859165</v>
      </c>
      <c r="I97" s="45">
        <f t="shared" si="12"/>
        <v>722.89068189859165</v>
      </c>
      <c r="J97" s="45">
        <f t="shared" si="12"/>
        <v>722.89068189859165</v>
      </c>
      <c r="K97" s="45">
        <f t="shared" si="12"/>
        <v>722.89068189859165</v>
      </c>
      <c r="L97" s="45">
        <f t="shared" si="12"/>
        <v>722.89068189859165</v>
      </c>
      <c r="M97" s="45">
        <f t="shared" si="12"/>
        <v>722.89068189859165</v>
      </c>
      <c r="N97" s="45">
        <f t="shared" si="12"/>
        <v>722.89068189859165</v>
      </c>
      <c r="O97" s="45">
        <f t="shared" si="12"/>
        <v>722.89068189859165</v>
      </c>
      <c r="P97" s="45">
        <f t="shared" si="12"/>
        <v>722.89068189859165</v>
      </c>
      <c r="Q97" s="45">
        <f t="shared" si="12"/>
        <v>722.89068189859165</v>
      </c>
      <c r="R97" s="45">
        <f t="shared" si="12"/>
        <v>722.89068189859165</v>
      </c>
      <c r="S97" s="45">
        <f t="shared" si="12"/>
        <v>1063.3706818985918</v>
      </c>
      <c r="T97" s="45">
        <f t="shared" si="12"/>
        <v>1063.3706818985918</v>
      </c>
      <c r="U97" s="45">
        <f t="shared" si="12"/>
        <v>1063.3706818985918</v>
      </c>
      <c r="V97" s="45">
        <f t="shared" si="12"/>
        <v>1063.3706818985918</v>
      </c>
      <c r="W97" s="45">
        <f t="shared" si="12"/>
        <v>1063.3706818985918</v>
      </c>
      <c r="X97" s="45">
        <f t="shared" si="12"/>
        <v>1063.3706818985918</v>
      </c>
      <c r="Y97" s="45">
        <f t="shared" si="12"/>
        <v>1063.3706818985918</v>
      </c>
      <c r="Z97" s="45">
        <f t="shared" si="12"/>
        <v>1063.3706818985918</v>
      </c>
      <c r="AA97" s="45">
        <f t="shared" si="12"/>
        <v>1063.3706818985918</v>
      </c>
      <c r="AB97" s="45">
        <f t="shared" si="12"/>
        <v>1063.3706818985918</v>
      </c>
      <c r="AC97" s="45">
        <f t="shared" si="12"/>
        <v>1063.3706818985918</v>
      </c>
      <c r="AD97" s="45">
        <f t="shared" si="12"/>
        <v>1063.3706818985918</v>
      </c>
      <c r="AE97" s="45">
        <f t="shared" si="12"/>
        <v>1063.3706818985918</v>
      </c>
      <c r="AF97" s="45">
        <f t="shared" si="12"/>
        <v>1063.3706818985918</v>
      </c>
      <c r="AG97" s="45">
        <f t="shared" si="12"/>
        <v>1063.3706818985918</v>
      </c>
      <c r="AH97" s="45">
        <f>SUM(C97:AG97)</f>
        <v>26793.920456957756</v>
      </c>
      <c r="AI97" s="43"/>
      <c r="AJ97" s="43"/>
      <c r="AK97" s="43"/>
    </row>
    <row r="98" spans="1:37">
      <c r="A98" s="22" t="s">
        <v>76</v>
      </c>
      <c r="B98" s="23" t="s">
        <v>14</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3"/>
      <c r="AJ98" s="43"/>
      <c r="AK98" s="43"/>
    </row>
    <row r="99" spans="1:37">
      <c r="AI99" s="43"/>
      <c r="AJ99" s="43"/>
      <c r="AK99" s="43"/>
    </row>
    <row r="100" spans="1:37">
      <c r="C100" s="1" t="s">
        <v>77</v>
      </c>
      <c r="T100" s="1" t="s">
        <v>78</v>
      </c>
      <c r="AI100" s="43"/>
      <c r="AJ100" s="43"/>
      <c r="AK100" s="43"/>
    </row>
    <row r="101" spans="1:37">
      <c r="AI101" s="43"/>
      <c r="AJ101" s="43"/>
      <c r="AK101" s="43"/>
    </row>
    <row r="102" spans="1:37">
      <c r="AI102" s="43"/>
      <c r="AJ102" s="43"/>
      <c r="AK102" s="43"/>
    </row>
    <row r="103" spans="1:37">
      <c r="AI103" s="43"/>
      <c r="AJ103" s="43"/>
      <c r="AK103" s="43"/>
    </row>
    <row r="104" spans="1:37">
      <c r="AI104" s="43"/>
      <c r="AJ104" s="43"/>
      <c r="AK104" s="43"/>
    </row>
    <row r="105" spans="1:37">
      <c r="AI105" s="43"/>
      <c r="AJ105" s="43"/>
      <c r="AK105" s="43"/>
    </row>
    <row r="106" spans="1:37">
      <c r="AI106" s="43"/>
      <c r="AJ106" s="43"/>
      <c r="AK106" s="43"/>
    </row>
    <row r="107" spans="1:37">
      <c r="AI107" s="43"/>
      <c r="AJ107" s="43"/>
      <c r="AK107" s="43"/>
    </row>
    <row r="108" spans="1:37">
      <c r="AI108" s="43"/>
      <c r="AJ108" s="43"/>
      <c r="AK108" s="43"/>
    </row>
    <row r="109" spans="1:37">
      <c r="AI109" s="43"/>
      <c r="AJ109" s="43"/>
      <c r="AK109" s="43"/>
    </row>
    <row r="110" spans="1:37">
      <c r="AI110" s="43"/>
      <c r="AJ110" s="43"/>
      <c r="AK110" s="43"/>
    </row>
    <row r="111" spans="1:37">
      <c r="AI111" s="43"/>
      <c r="AJ111" s="43"/>
      <c r="AK111" s="43"/>
    </row>
    <row r="112" spans="1:37">
      <c r="AI112" s="43"/>
      <c r="AJ112" s="43"/>
      <c r="AK112" s="43"/>
    </row>
    <row r="113" spans="35:37">
      <c r="AI113" s="43"/>
      <c r="AJ113" s="43"/>
      <c r="AK113" s="43"/>
    </row>
    <row r="114" spans="35:37">
      <c r="AI114" s="43"/>
      <c r="AJ114" s="43"/>
      <c r="AK114" s="43"/>
    </row>
    <row r="115" spans="35:37">
      <c r="AI115" s="43"/>
      <c r="AJ115" s="43"/>
      <c r="AK115" s="43"/>
    </row>
    <row r="116" spans="35:37">
      <c r="AI116" s="43"/>
      <c r="AJ116" s="43"/>
      <c r="AK116" s="43"/>
    </row>
    <row r="117" spans="35:37">
      <c r="AI117" s="43"/>
      <c r="AJ117" s="43"/>
      <c r="AK117" s="43"/>
    </row>
    <row r="118" spans="35:37">
      <c r="AI118" s="43"/>
      <c r="AJ118" s="43"/>
      <c r="AK118" s="43"/>
    </row>
    <row r="119" spans="35:37">
      <c r="AI119" s="43"/>
      <c r="AJ119" s="43"/>
      <c r="AK119" s="43"/>
    </row>
    <row r="120" spans="35:37">
      <c r="AI120" s="43"/>
      <c r="AJ120" s="43"/>
      <c r="AK120" s="43"/>
    </row>
    <row r="121" spans="35:37">
      <c r="AI121" s="43"/>
      <c r="AJ121" s="43"/>
      <c r="AK121" s="43"/>
    </row>
    <row r="122" spans="35:37">
      <c r="AI122" s="43"/>
      <c r="AJ122" s="43"/>
      <c r="AK122" s="43"/>
    </row>
    <row r="123" spans="35:37">
      <c r="AI123" s="43"/>
      <c r="AJ123" s="43"/>
      <c r="AK123" s="43"/>
    </row>
    <row r="124" spans="35:37">
      <c r="AI124" s="43"/>
      <c r="AJ124" s="43"/>
      <c r="AK124" s="43"/>
    </row>
    <row r="125" spans="35:37">
      <c r="AI125" s="43"/>
      <c r="AJ125" s="43"/>
      <c r="AK125" s="43"/>
    </row>
    <row r="126" spans="35:37">
      <c r="AI126" s="43"/>
      <c r="AJ126" s="43"/>
      <c r="AK126" s="43"/>
    </row>
    <row r="127" spans="35:37">
      <c r="AI127" s="43"/>
      <c r="AJ127" s="43"/>
      <c r="AK127" s="43"/>
    </row>
    <row r="128" spans="35:37">
      <c r="AI128" s="43"/>
      <c r="AJ128" s="43"/>
      <c r="AK128" s="43"/>
    </row>
    <row r="129" spans="35:37">
      <c r="AI129" s="43"/>
      <c r="AJ129" s="43"/>
      <c r="AK129" s="43"/>
    </row>
    <row r="130" spans="35:37">
      <c r="AI130" s="43"/>
      <c r="AJ130" s="43"/>
      <c r="AK130" s="43"/>
    </row>
    <row r="131" spans="35:37">
      <c r="AI131" s="43"/>
      <c r="AJ131" s="43"/>
      <c r="AK131" s="43"/>
    </row>
    <row r="132" spans="35:37">
      <c r="AI132" s="43"/>
      <c r="AJ132" s="43"/>
      <c r="AK132" s="43"/>
    </row>
    <row r="133" spans="35:37">
      <c r="AI133" s="43"/>
      <c r="AJ133" s="43"/>
      <c r="AK133" s="43"/>
    </row>
    <row r="134" spans="35:37">
      <c r="AI134" s="43"/>
      <c r="AJ134" s="43"/>
      <c r="AK134" s="43"/>
    </row>
    <row r="135" spans="35:37">
      <c r="AI135" s="43"/>
      <c r="AJ135" s="43"/>
      <c r="AK135" s="43"/>
    </row>
    <row r="136" spans="35:37">
      <c r="AI136" s="43"/>
      <c r="AJ136" s="43"/>
      <c r="AK136" s="43"/>
    </row>
    <row r="137" spans="35:37">
      <c r="AI137" s="43"/>
      <c r="AJ137" s="43"/>
      <c r="AK137" s="43"/>
    </row>
    <row r="138" spans="35:37">
      <c r="AI138" s="43"/>
      <c r="AJ138" s="43"/>
      <c r="AK138" s="43"/>
    </row>
    <row r="139" spans="35:37">
      <c r="AI139" s="43"/>
      <c r="AJ139" s="43"/>
      <c r="AK139" s="43"/>
    </row>
    <row r="140" spans="35:37">
      <c r="AI140" s="43"/>
      <c r="AJ140" s="43"/>
      <c r="AK140" s="43"/>
    </row>
  </sheetData>
  <pageMargins left="0.7" right="0.7" top="0.75" bottom="0.75" header="0.3" footer="0.3"/>
  <pageSetup paperSize="9" orientation="portrait" r:id="rId1"/>
  <headerFooter>
    <oddHeader>&amp;L&amp;"Calibri"&amp;10&amp;K000000Classified&amp;1#</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C7663-51DF-4641-8339-7D1B68EF7CBA}">
  <dimension ref="A1:P21"/>
  <sheetViews>
    <sheetView workbookViewId="0">
      <selection activeCell="B22" sqref="B22"/>
    </sheetView>
  </sheetViews>
  <sheetFormatPr defaultRowHeight="14.4"/>
  <cols>
    <col min="1" max="1" width="21.77734375" customWidth="1"/>
  </cols>
  <sheetData>
    <row r="1" spans="1:16">
      <c r="A1" s="1" t="s">
        <v>100</v>
      </c>
      <c r="B1" s="43"/>
      <c r="D1" s="5"/>
      <c r="E1" s="5"/>
      <c r="F1" s="5"/>
      <c r="G1" s="5"/>
      <c r="H1" s="5"/>
      <c r="I1" s="5"/>
      <c r="J1" s="5"/>
      <c r="K1" s="5"/>
      <c r="L1" s="5"/>
      <c r="M1" s="5"/>
      <c r="N1" s="5"/>
      <c r="O1" s="5"/>
      <c r="P1" s="5"/>
    </row>
    <row r="2" spans="1:16">
      <c r="A2" s="2" t="s">
        <v>83</v>
      </c>
      <c r="B2" s="43"/>
      <c r="D2" s="5"/>
      <c r="E2" s="5"/>
      <c r="F2" s="5"/>
      <c r="G2" s="5"/>
      <c r="H2" s="5"/>
      <c r="I2" s="5"/>
      <c r="J2" s="5"/>
      <c r="K2" s="5"/>
    </row>
    <row r="3" spans="1:16">
      <c r="A3" s="2" t="s">
        <v>84</v>
      </c>
      <c r="B3" s="43"/>
      <c r="D3" s="5"/>
      <c r="E3" s="5"/>
      <c r="F3" s="5"/>
      <c r="G3" s="5"/>
      <c r="H3" s="5"/>
      <c r="I3" s="5"/>
      <c r="J3" s="5"/>
      <c r="K3" s="5"/>
    </row>
    <row r="4" spans="1:16">
      <c r="A4" s="2" t="s">
        <v>85</v>
      </c>
      <c r="C4" s="46"/>
      <c r="D4" s="5"/>
      <c r="E4" s="5"/>
      <c r="F4" s="5"/>
      <c r="G4" s="5"/>
      <c r="H4" s="5"/>
      <c r="I4" s="5"/>
      <c r="J4" s="5"/>
      <c r="K4" s="5"/>
    </row>
    <row r="5" spans="1:16">
      <c r="A5" s="2"/>
      <c r="B5" s="43"/>
      <c r="D5" s="5"/>
      <c r="E5" s="5"/>
      <c r="F5" s="5"/>
      <c r="G5" s="5"/>
      <c r="H5" s="5"/>
      <c r="I5" s="5"/>
      <c r="J5" s="5"/>
      <c r="K5" s="5"/>
    </row>
    <row r="6" spans="1:16">
      <c r="A6" s="1" t="s">
        <v>86</v>
      </c>
      <c r="B6" s="43"/>
      <c r="D6" s="5"/>
      <c r="E6" s="5"/>
      <c r="F6" s="5"/>
      <c r="G6" s="5"/>
      <c r="H6" s="5"/>
      <c r="I6" s="5"/>
      <c r="J6" s="5"/>
      <c r="K6" s="5"/>
    </row>
    <row r="7" spans="1:16">
      <c r="A7" s="2" t="s">
        <v>87</v>
      </c>
      <c r="B7" s="47"/>
      <c r="C7" s="2"/>
      <c r="D7" s="5"/>
      <c r="E7" s="5"/>
      <c r="F7" s="5"/>
      <c r="G7" s="5"/>
      <c r="H7" s="5"/>
      <c r="I7" s="5"/>
      <c r="J7" s="5"/>
      <c r="K7" s="5"/>
      <c r="L7" s="2"/>
      <c r="M7" s="2"/>
      <c r="N7" s="2"/>
      <c r="O7" s="2"/>
      <c r="P7" s="2"/>
    </row>
    <row r="8" spans="1:16">
      <c r="A8" s="2" t="s">
        <v>88</v>
      </c>
      <c r="B8" s="47"/>
      <c r="C8" s="2"/>
      <c r="D8" s="5"/>
      <c r="E8" s="5"/>
      <c r="F8" s="5"/>
      <c r="G8" s="5"/>
      <c r="H8" s="5"/>
      <c r="I8" s="5"/>
      <c r="J8" s="5"/>
      <c r="K8" s="5"/>
      <c r="L8" s="2"/>
      <c r="M8" s="2"/>
      <c r="N8" s="2"/>
      <c r="O8" s="2"/>
      <c r="P8" s="2"/>
    </row>
    <row r="9" spans="1:16">
      <c r="A9" s="2" t="s">
        <v>89</v>
      </c>
      <c r="B9" s="47"/>
      <c r="C9" s="2"/>
      <c r="D9" s="5"/>
      <c r="E9" s="5"/>
      <c r="F9" s="5"/>
      <c r="G9" s="5"/>
      <c r="H9" s="5"/>
      <c r="I9" s="5"/>
      <c r="J9" s="5"/>
      <c r="K9" s="5"/>
      <c r="L9" s="2"/>
      <c r="M9" s="2"/>
      <c r="N9" s="2"/>
      <c r="O9" s="2"/>
      <c r="P9" s="2"/>
    </row>
    <row r="10" spans="1:16">
      <c r="A10" s="2" t="s">
        <v>90</v>
      </c>
      <c r="B10" s="47"/>
      <c r="C10" s="2"/>
      <c r="D10" s="5"/>
      <c r="E10" s="5"/>
      <c r="F10" s="5"/>
      <c r="G10" s="5"/>
      <c r="H10" s="5"/>
      <c r="I10" s="5"/>
      <c r="J10" s="5"/>
      <c r="K10" s="5"/>
      <c r="L10" s="2"/>
      <c r="M10" s="2"/>
      <c r="N10" s="2"/>
      <c r="O10" s="2"/>
      <c r="P10" s="2"/>
    </row>
    <row r="11" spans="1:16">
      <c r="A11" s="1" t="s">
        <v>91</v>
      </c>
      <c r="B11" s="47"/>
      <c r="C11" s="2"/>
      <c r="D11" s="5"/>
      <c r="E11" s="5"/>
      <c r="F11" s="5"/>
      <c r="G11" s="5"/>
      <c r="H11" s="5"/>
      <c r="I11" s="5"/>
      <c r="J11" s="5"/>
      <c r="K11" s="5"/>
      <c r="L11" s="2"/>
      <c r="M11" s="2"/>
      <c r="N11" s="2"/>
      <c r="O11" s="2"/>
      <c r="P11" s="2"/>
    </row>
    <row r="12" spans="1:16">
      <c r="A12" s="2" t="s">
        <v>92</v>
      </c>
      <c r="B12" s="47"/>
      <c r="C12" s="2"/>
      <c r="D12" s="5"/>
      <c r="E12" s="5"/>
      <c r="F12" s="5"/>
      <c r="G12" s="5"/>
      <c r="H12" s="5"/>
      <c r="I12" s="5"/>
      <c r="J12" s="5"/>
      <c r="K12" s="5"/>
      <c r="L12" s="2"/>
      <c r="M12" s="2"/>
      <c r="N12" s="2"/>
      <c r="O12" s="2"/>
      <c r="P12" s="2"/>
    </row>
    <row r="13" spans="1:16">
      <c r="B13" s="43"/>
    </row>
    <row r="14" spans="1:16">
      <c r="A14" s="2" t="s">
        <v>93</v>
      </c>
      <c r="B14" s="48">
        <f>-1*Geschäftsmodell!C49</f>
        <v>12768</v>
      </c>
      <c r="C14" s="49" t="s">
        <v>14</v>
      </c>
    </row>
    <row r="15" spans="1:16">
      <c r="A15" s="2" t="s">
        <v>94</v>
      </c>
      <c r="B15" s="1">
        <v>30</v>
      </c>
      <c r="C15" s="50" t="s">
        <v>23</v>
      </c>
      <c r="D15" s="2" t="s">
        <v>95</v>
      </c>
    </row>
    <row r="16" spans="1:16">
      <c r="A16" s="2" t="s">
        <v>21</v>
      </c>
      <c r="B16" s="51">
        <v>5.6500000000000002E-2</v>
      </c>
      <c r="C16" s="52"/>
      <c r="D16" s="2" t="s">
        <v>96</v>
      </c>
    </row>
    <row r="17" spans="1:5">
      <c r="B17" s="1"/>
    </row>
    <row r="18" spans="1:5">
      <c r="A18" s="2" t="s">
        <v>97</v>
      </c>
      <c r="B18" s="48">
        <f>B14*(B16*(1+B16)^(B15))/((1+B16)^(B15)-1)</f>
        <v>893.11200156668497</v>
      </c>
      <c r="C18" t="s">
        <v>14</v>
      </c>
      <c r="E18" s="2"/>
    </row>
    <row r="19" spans="1:5">
      <c r="A19" s="2" t="s">
        <v>97</v>
      </c>
      <c r="B19" s="51">
        <f>B18/B14</f>
        <v>6.9949248243004775E-2</v>
      </c>
    </row>
    <row r="21" spans="1:5">
      <c r="A21" s="2" t="s">
        <v>98</v>
      </c>
      <c r="B21" s="48">
        <f>B15*B18</f>
        <v>26793.360047000548</v>
      </c>
      <c r="C21" s="1" t="s">
        <v>14</v>
      </c>
      <c r="D21" s="2" t="s">
        <v>99</v>
      </c>
    </row>
  </sheetData>
  <hyperlinks>
    <hyperlink ref="C4" r:id="rId1" display="http://de.wikipedia.org/wiki/Annuit%C3%A4tendarlehen " xr:uid="{7656CC9C-7E83-4FB4-A94D-504EDA6AAD03}"/>
  </hyperlinks>
  <pageMargins left="0.7" right="0.7" top="0.75" bottom="0.75" header="0.3" footer="0.3"/>
  <pageSetup paperSize="9" orientation="portrait" r:id="rId2"/>
  <headerFooter>
    <oddHeader>&amp;L&amp;"Calibri"&amp;10&amp;K000000Classified&amp;1#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1CCB-A128-4C1D-B63C-6CBE61C65DE6}">
  <dimension ref="A1:R50"/>
  <sheetViews>
    <sheetView topLeftCell="A4" workbookViewId="0">
      <selection activeCell="U10" sqref="U10"/>
    </sheetView>
  </sheetViews>
  <sheetFormatPr defaultRowHeight="14.4"/>
  <cols>
    <col min="1" max="1" width="43.88671875" customWidth="1"/>
    <col min="2" max="2" width="10.33203125" customWidth="1"/>
  </cols>
  <sheetData>
    <row r="1" spans="1:18">
      <c r="A1" s="1" t="s">
        <v>101</v>
      </c>
      <c r="B1" s="1"/>
      <c r="C1" s="1"/>
      <c r="D1" s="1"/>
      <c r="E1" s="53"/>
      <c r="F1" s="43"/>
      <c r="G1" s="43"/>
      <c r="H1" s="43"/>
      <c r="I1" s="43"/>
      <c r="J1" s="43"/>
      <c r="K1" s="43"/>
      <c r="L1" s="43"/>
      <c r="M1" s="43"/>
      <c r="N1" s="43"/>
      <c r="O1" s="43"/>
      <c r="P1" s="43"/>
      <c r="Q1" s="43"/>
    </row>
    <row r="2" spans="1:18">
      <c r="A2" s="2" t="s">
        <v>102</v>
      </c>
      <c r="B2" s="2"/>
      <c r="C2" s="2"/>
      <c r="D2" s="2"/>
      <c r="E2" s="47"/>
      <c r="F2" s="47"/>
      <c r="G2" s="47"/>
      <c r="H2" s="47"/>
      <c r="I2" s="47"/>
      <c r="J2" s="47"/>
      <c r="K2" s="47"/>
      <c r="L2" s="47"/>
      <c r="M2" s="47"/>
      <c r="N2" s="47"/>
      <c r="O2" s="47"/>
      <c r="P2" s="47"/>
      <c r="Q2" s="47"/>
    </row>
    <row r="3" spans="1:18">
      <c r="A3" s="2" t="s">
        <v>103</v>
      </c>
      <c r="B3" s="2"/>
      <c r="C3" s="2"/>
      <c r="D3" s="2"/>
      <c r="E3" s="47"/>
      <c r="F3" s="47"/>
      <c r="G3" s="47"/>
      <c r="H3" s="47"/>
      <c r="I3" s="47"/>
      <c r="J3" s="47"/>
      <c r="K3" s="47"/>
      <c r="L3" s="47"/>
      <c r="M3" s="47"/>
      <c r="N3" s="47"/>
      <c r="O3" s="47"/>
      <c r="P3" s="47"/>
      <c r="Q3" s="47"/>
    </row>
    <row r="4" spans="1:18">
      <c r="A4" s="2" t="s">
        <v>104</v>
      </c>
      <c r="B4" s="2"/>
      <c r="C4" s="2"/>
      <c r="D4" s="2"/>
      <c r="E4" s="47"/>
      <c r="F4" s="47"/>
      <c r="G4" s="47"/>
      <c r="H4" s="47"/>
      <c r="I4" s="47"/>
      <c r="J4" s="47"/>
      <c r="K4" s="47"/>
      <c r="L4" s="47"/>
      <c r="M4" s="47"/>
      <c r="N4" s="47"/>
      <c r="O4" s="47"/>
      <c r="P4" s="47"/>
      <c r="Q4" s="47"/>
    </row>
    <row r="5" spans="1:18">
      <c r="E5" s="43"/>
      <c r="F5" s="43"/>
      <c r="G5" s="43"/>
      <c r="H5" s="43"/>
      <c r="I5" s="43"/>
      <c r="J5" s="43"/>
      <c r="K5" s="43"/>
      <c r="L5" s="43"/>
      <c r="M5" s="43"/>
      <c r="N5" s="43"/>
      <c r="O5" s="43"/>
      <c r="P5" s="43"/>
      <c r="Q5" s="43"/>
    </row>
    <row r="6" spans="1:18">
      <c r="B6" s="53">
        <v>2008</v>
      </c>
      <c r="C6" s="53">
        <v>2009</v>
      </c>
      <c r="D6" s="53">
        <v>2010</v>
      </c>
      <c r="E6" s="53">
        <v>2011</v>
      </c>
      <c r="F6" s="53">
        <v>2012</v>
      </c>
      <c r="G6" s="53">
        <v>2013</v>
      </c>
      <c r="H6" s="53">
        <v>2014</v>
      </c>
      <c r="I6" s="53">
        <v>2015</v>
      </c>
      <c r="J6" s="53">
        <v>2016</v>
      </c>
      <c r="K6" s="53">
        <v>2017</v>
      </c>
      <c r="L6" s="53">
        <v>2018</v>
      </c>
      <c r="M6" s="53">
        <v>2019</v>
      </c>
      <c r="N6" s="53">
        <v>2020</v>
      </c>
      <c r="O6" s="53">
        <v>2021</v>
      </c>
      <c r="P6" s="53">
        <v>2022</v>
      </c>
      <c r="Q6" s="61">
        <v>2023</v>
      </c>
      <c r="R6" s="53">
        <v>2024</v>
      </c>
    </row>
    <row r="7" spans="1:18">
      <c r="A7" s="2" t="s">
        <v>105</v>
      </c>
      <c r="B7" s="47">
        <v>21.2</v>
      </c>
      <c r="C7" s="47">
        <v>21.2</v>
      </c>
      <c r="D7" s="47">
        <v>22.7</v>
      </c>
      <c r="E7" s="47">
        <v>23.9</v>
      </c>
      <c r="F7" s="47">
        <v>23.9</v>
      </c>
      <c r="G7" s="47">
        <v>26.75</v>
      </c>
      <c r="H7" s="47">
        <v>26.75</v>
      </c>
      <c r="I7" s="43">
        <v>26.75</v>
      </c>
      <c r="J7" s="43">
        <v>25.95</v>
      </c>
      <c r="K7" s="43">
        <v>25.95</v>
      </c>
      <c r="L7" s="43">
        <v>25.95</v>
      </c>
      <c r="M7" s="43">
        <v>27.65</v>
      </c>
      <c r="N7" s="43">
        <v>29.2</v>
      </c>
      <c r="O7" s="43">
        <v>29.2</v>
      </c>
      <c r="P7" s="47"/>
      <c r="Q7" s="43">
        <v>40</v>
      </c>
      <c r="R7" s="43">
        <v>35.9</v>
      </c>
    </row>
    <row r="8" spans="1:18">
      <c r="A8" s="2" t="s">
        <v>146</v>
      </c>
      <c r="B8" s="47">
        <v>19.8</v>
      </c>
      <c r="C8" s="47">
        <v>21.4</v>
      </c>
      <c r="D8" s="47">
        <v>23.6</v>
      </c>
      <c r="E8" s="47">
        <v>24.8</v>
      </c>
      <c r="F8" s="47">
        <v>24.8</v>
      </c>
      <c r="G8" s="47">
        <v>27.2</v>
      </c>
      <c r="H8" s="47">
        <v>27.65</v>
      </c>
      <c r="I8" s="43">
        <v>27.65</v>
      </c>
      <c r="J8" s="43">
        <v>26.65</v>
      </c>
      <c r="K8" s="43">
        <v>27.1</v>
      </c>
      <c r="L8" s="43">
        <v>27.1</v>
      </c>
      <c r="M8" s="43">
        <v>28.5</v>
      </c>
      <c r="N8" s="43">
        <v>29.8</v>
      </c>
      <c r="O8" s="43">
        <v>29.8</v>
      </c>
      <c r="P8" s="47"/>
      <c r="Q8" s="43">
        <v>40</v>
      </c>
      <c r="R8" s="43">
        <v>38.64</v>
      </c>
    </row>
    <row r="9" spans="1:18">
      <c r="A9" s="2" t="s">
        <v>106</v>
      </c>
      <c r="B9" s="47">
        <v>20.25</v>
      </c>
      <c r="C9" s="47">
        <v>19.989999999999998</v>
      </c>
      <c r="D9" s="47">
        <v>21.99</v>
      </c>
      <c r="E9" s="47">
        <v>23.64</v>
      </c>
      <c r="F9" s="47">
        <v>24.19</v>
      </c>
      <c r="G9" s="47">
        <v>27.48</v>
      </c>
      <c r="H9" s="47">
        <v>26.76</v>
      </c>
      <c r="I9" s="43">
        <v>26.76</v>
      </c>
      <c r="J9" s="43">
        <v>26.44</v>
      </c>
      <c r="K9" s="43">
        <v>27.99</v>
      </c>
      <c r="L9" s="43">
        <v>27.99</v>
      </c>
      <c r="M9" s="43">
        <v>27.99</v>
      </c>
      <c r="N9" s="43">
        <v>30.55</v>
      </c>
      <c r="O9" s="43"/>
      <c r="P9" s="47" t="s">
        <v>107</v>
      </c>
      <c r="Q9" s="43"/>
      <c r="R9" s="43">
        <v>31.67</v>
      </c>
    </row>
    <row r="10" spans="1:18">
      <c r="A10" s="2" t="s">
        <v>108</v>
      </c>
      <c r="B10" s="47">
        <v>19.899999999999999</v>
      </c>
      <c r="C10" s="47">
        <v>19.899999999999999</v>
      </c>
      <c r="D10" s="47">
        <v>19.899999999999999</v>
      </c>
      <c r="E10" s="47">
        <v>21.25</v>
      </c>
      <c r="F10" s="47">
        <v>23.4</v>
      </c>
      <c r="G10" s="47">
        <v>25.75</v>
      </c>
      <c r="H10" s="47">
        <v>26.95</v>
      </c>
      <c r="I10" s="43">
        <v>26.25</v>
      </c>
      <c r="J10" s="43">
        <v>26.75</v>
      </c>
      <c r="K10" s="43">
        <v>27.75</v>
      </c>
      <c r="L10" s="43">
        <v>27.75</v>
      </c>
      <c r="M10" s="43">
        <v>27.75</v>
      </c>
      <c r="N10" s="43">
        <v>28.95</v>
      </c>
      <c r="O10" s="43">
        <v>28.95</v>
      </c>
      <c r="P10" s="47" t="s">
        <v>109</v>
      </c>
      <c r="Q10" s="43">
        <v>40</v>
      </c>
      <c r="R10" s="43">
        <v>34.9</v>
      </c>
    </row>
    <row r="11" spans="1:18">
      <c r="A11" s="2" t="s">
        <v>110</v>
      </c>
      <c r="B11" s="47"/>
      <c r="C11" s="47"/>
      <c r="D11" s="47"/>
      <c r="E11" s="47"/>
      <c r="F11" s="43"/>
      <c r="G11" s="43"/>
      <c r="H11" s="43"/>
      <c r="I11" s="43"/>
      <c r="J11" s="43"/>
      <c r="K11" s="47">
        <v>24.99</v>
      </c>
      <c r="L11" s="47">
        <v>25.99</v>
      </c>
      <c r="M11" s="43">
        <v>26.99</v>
      </c>
      <c r="N11" s="43">
        <v>27.99</v>
      </c>
      <c r="O11" s="43">
        <v>28.49</v>
      </c>
      <c r="P11" s="43">
        <v>29.99</v>
      </c>
      <c r="Q11" s="43">
        <v>40</v>
      </c>
      <c r="R11" s="43">
        <v>37.950000000000003</v>
      </c>
    </row>
    <row r="12" spans="1:18">
      <c r="B12" s="43"/>
      <c r="C12" s="43"/>
      <c r="D12" s="43"/>
      <c r="E12" s="43"/>
      <c r="F12" s="43"/>
      <c r="G12" s="43"/>
      <c r="H12" s="43"/>
      <c r="I12" s="43"/>
      <c r="J12" s="43"/>
      <c r="K12" s="43"/>
      <c r="L12" s="43"/>
      <c r="M12" s="43"/>
      <c r="N12" s="43"/>
      <c r="O12" s="43"/>
      <c r="P12" s="43"/>
      <c r="Q12" s="43"/>
    </row>
    <row r="13" spans="1:18">
      <c r="A13" s="2" t="s">
        <v>111</v>
      </c>
      <c r="B13" s="47">
        <f t="shared" ref="B13:J13" si="0">MIN(B7:B10)</f>
        <v>19.8</v>
      </c>
      <c r="C13" s="47">
        <f t="shared" si="0"/>
        <v>19.899999999999999</v>
      </c>
      <c r="D13" s="47">
        <f t="shared" si="0"/>
        <v>19.899999999999999</v>
      </c>
      <c r="E13" s="47">
        <f t="shared" si="0"/>
        <v>21.25</v>
      </c>
      <c r="F13" s="47">
        <f t="shared" si="0"/>
        <v>23.4</v>
      </c>
      <c r="G13" s="47">
        <f t="shared" si="0"/>
        <v>25.75</v>
      </c>
      <c r="H13" s="47">
        <f t="shared" si="0"/>
        <v>26.75</v>
      </c>
      <c r="I13" s="47">
        <f t="shared" si="0"/>
        <v>26.25</v>
      </c>
      <c r="J13" s="47">
        <f t="shared" si="0"/>
        <v>25.95</v>
      </c>
      <c r="K13" s="47">
        <f t="shared" ref="K13:O13" si="1">MIN(K7:K11)</f>
        <v>24.99</v>
      </c>
      <c r="L13" s="47">
        <f t="shared" si="1"/>
        <v>25.95</v>
      </c>
      <c r="M13" s="47">
        <f t="shared" si="1"/>
        <v>26.99</v>
      </c>
      <c r="N13" s="47">
        <f t="shared" si="1"/>
        <v>27.99</v>
      </c>
      <c r="O13" s="47">
        <f t="shared" si="1"/>
        <v>28.49</v>
      </c>
      <c r="P13" s="47">
        <f>MIN(P7:P11)</f>
        <v>29.99</v>
      </c>
      <c r="Q13" s="47">
        <v>40</v>
      </c>
      <c r="R13" s="43">
        <v>34.9</v>
      </c>
    </row>
    <row r="14" spans="1:18">
      <c r="A14" s="54" t="s">
        <v>112</v>
      </c>
      <c r="B14" s="47"/>
      <c r="C14" s="55">
        <f t="shared" ref="C14:R14" si="2">(C13-B13)/B13</f>
        <v>5.0505050505049425E-3</v>
      </c>
      <c r="D14" s="55">
        <f t="shared" si="2"/>
        <v>0</v>
      </c>
      <c r="E14" s="55">
        <f t="shared" si="2"/>
        <v>6.7839195979899569E-2</v>
      </c>
      <c r="F14" s="55">
        <f t="shared" si="2"/>
        <v>0.10117647058823523</v>
      </c>
      <c r="G14" s="55">
        <f t="shared" si="2"/>
        <v>0.1004273504273505</v>
      </c>
      <c r="H14" s="55">
        <f t="shared" si="2"/>
        <v>3.8834951456310676E-2</v>
      </c>
      <c r="I14" s="55">
        <f t="shared" si="2"/>
        <v>-1.8691588785046728E-2</v>
      </c>
      <c r="J14" s="55">
        <f t="shared" si="2"/>
        <v>-1.1428571428571456E-2</v>
      </c>
      <c r="K14" s="55">
        <f t="shared" si="2"/>
        <v>-3.6994219653179228E-2</v>
      </c>
      <c r="L14" s="55">
        <f t="shared" si="2"/>
        <v>3.8415366146458622E-2</v>
      </c>
      <c r="M14" s="55">
        <f t="shared" si="2"/>
        <v>4.0077071290944094E-2</v>
      </c>
      <c r="N14" s="55">
        <f t="shared" si="2"/>
        <v>3.7050759540570584E-2</v>
      </c>
      <c r="O14" s="55">
        <f t="shared" si="2"/>
        <v>1.7863522686673815E-2</v>
      </c>
      <c r="P14" s="55">
        <f t="shared" si="2"/>
        <v>5.2650052650052653E-2</v>
      </c>
      <c r="Q14" s="55">
        <f t="shared" si="2"/>
        <v>0.33377792597532518</v>
      </c>
      <c r="R14" s="55">
        <f t="shared" si="2"/>
        <v>-0.12750000000000003</v>
      </c>
    </row>
    <row r="15" spans="1:18">
      <c r="A15" s="56" t="s">
        <v>113</v>
      </c>
      <c r="C15" s="55">
        <f>(C13/$B$13)^(1/(C6-2008))-1</f>
        <v>5.050505050504972E-3</v>
      </c>
      <c r="D15" s="55">
        <f>(D13/$B$13)^(1/(D6-2008))-1</f>
        <v>2.5220721014100889E-3</v>
      </c>
      <c r="E15" s="55">
        <f>(E13/$B$13)^(1/(E6-2008))-1</f>
        <v>2.3838008443008762E-2</v>
      </c>
      <c r="F15" s="55">
        <f t="shared" ref="F15:R15" si="3">(F13/$B$13)^(1/(F6-2008))-1</f>
        <v>4.264788543842446E-2</v>
      </c>
      <c r="G15" s="55">
        <f t="shared" si="3"/>
        <v>5.3955825427599358E-2</v>
      </c>
      <c r="H15" s="55">
        <f t="shared" si="3"/>
        <v>5.1420481335200607E-2</v>
      </c>
      <c r="I15" s="55">
        <f t="shared" si="3"/>
        <v>4.1105819147615685E-2</v>
      </c>
      <c r="J15" s="55">
        <f t="shared" si="3"/>
        <v>3.4389304890367844E-2</v>
      </c>
      <c r="K15" s="55">
        <f t="shared" si="3"/>
        <v>2.6203406010751662E-2</v>
      </c>
      <c r="L15" s="55">
        <f t="shared" si="3"/>
        <v>2.74181113107832E-2</v>
      </c>
      <c r="M15" s="55">
        <f t="shared" si="3"/>
        <v>2.8562530784063789E-2</v>
      </c>
      <c r="N15" s="55">
        <f t="shared" si="3"/>
        <v>2.9267221710524316E-2</v>
      </c>
      <c r="O15" s="55">
        <f t="shared" si="3"/>
        <v>2.8385496298976909E-2</v>
      </c>
      <c r="P15" s="55">
        <f t="shared" si="3"/>
        <v>3.0099975450898375E-2</v>
      </c>
      <c r="Q15" s="55">
        <f t="shared" si="3"/>
        <v>4.7996068465465447E-2</v>
      </c>
      <c r="R15" s="55">
        <f t="shared" si="3"/>
        <v>3.6060257462029011E-2</v>
      </c>
    </row>
    <row r="16" spans="1:18">
      <c r="E16" s="43"/>
      <c r="F16" s="43"/>
      <c r="G16" s="43"/>
      <c r="H16" s="43"/>
      <c r="I16" s="43"/>
      <c r="J16" s="43"/>
      <c r="K16" s="43"/>
      <c r="L16" s="43"/>
      <c r="M16" s="43"/>
      <c r="N16" s="43"/>
      <c r="O16" s="43"/>
      <c r="P16" s="43"/>
      <c r="Q16" s="43"/>
    </row>
    <row r="17" spans="5:17">
      <c r="E17" s="43"/>
      <c r="F17" s="43"/>
      <c r="G17" s="43"/>
      <c r="H17" s="43"/>
      <c r="I17" s="43"/>
      <c r="J17" s="43"/>
      <c r="K17" s="43"/>
      <c r="L17" s="43"/>
      <c r="M17" s="43"/>
      <c r="N17" s="43"/>
      <c r="O17" s="43"/>
      <c r="P17" s="43"/>
      <c r="Q17" s="43"/>
    </row>
    <row r="18" spans="5:17">
      <c r="E18" s="43"/>
      <c r="F18" s="43"/>
      <c r="G18" s="43"/>
      <c r="H18" s="43"/>
      <c r="I18" s="43"/>
      <c r="J18" s="43"/>
      <c r="K18" s="43"/>
      <c r="L18" s="43"/>
      <c r="M18" s="43"/>
      <c r="N18" s="43"/>
      <c r="O18" s="43"/>
      <c r="P18" s="43"/>
      <c r="Q18" s="43"/>
    </row>
    <row r="19" spans="5:17">
      <c r="E19" s="43"/>
      <c r="F19" s="43"/>
      <c r="G19" s="43"/>
      <c r="H19" s="43"/>
      <c r="I19" s="43"/>
      <c r="J19" s="43"/>
      <c r="K19" s="43"/>
      <c r="L19" s="43"/>
      <c r="M19" s="43"/>
      <c r="N19" s="43"/>
      <c r="O19" s="43"/>
      <c r="P19" s="43"/>
      <c r="Q19" s="43"/>
    </row>
    <row r="20" spans="5:17">
      <c r="E20" s="43"/>
      <c r="F20" s="43"/>
      <c r="G20" s="43"/>
      <c r="H20" s="43"/>
      <c r="I20" s="43"/>
      <c r="J20" s="43"/>
      <c r="K20" s="43"/>
      <c r="L20" s="43"/>
      <c r="M20" s="43"/>
      <c r="N20" s="43"/>
      <c r="O20" s="43"/>
      <c r="P20" s="43"/>
      <c r="Q20" s="43"/>
    </row>
    <row r="21" spans="5:17">
      <c r="E21" s="43"/>
      <c r="F21" s="43"/>
      <c r="G21" s="43"/>
      <c r="H21" s="43"/>
      <c r="I21" s="43"/>
      <c r="J21" s="43"/>
      <c r="K21" s="43"/>
      <c r="L21" s="43"/>
      <c r="M21" s="43"/>
      <c r="N21" s="43"/>
      <c r="O21" s="43"/>
      <c r="P21" s="43"/>
      <c r="Q21" s="43"/>
    </row>
    <row r="22" spans="5:17">
      <c r="E22" s="43"/>
      <c r="F22" s="43"/>
      <c r="G22" s="43"/>
      <c r="H22" s="43"/>
      <c r="I22" s="43"/>
      <c r="J22" s="43"/>
      <c r="K22" s="43"/>
      <c r="L22" s="43"/>
      <c r="M22" s="43"/>
      <c r="N22" s="43"/>
      <c r="O22" s="43"/>
      <c r="P22" s="43"/>
      <c r="Q22" s="43"/>
    </row>
    <row r="23" spans="5:17">
      <c r="E23" s="43"/>
      <c r="F23" s="43"/>
      <c r="G23" s="43"/>
      <c r="H23" s="43"/>
      <c r="I23" s="43"/>
      <c r="J23" s="43"/>
      <c r="K23" s="43"/>
      <c r="L23" s="43"/>
      <c r="M23" s="43"/>
      <c r="N23" s="43"/>
      <c r="O23" s="43"/>
      <c r="P23" s="43"/>
      <c r="Q23" s="43"/>
    </row>
    <row r="24" spans="5:17">
      <c r="E24" s="43"/>
      <c r="F24" s="43"/>
      <c r="G24" s="43"/>
      <c r="H24" s="43"/>
      <c r="I24" s="43"/>
      <c r="J24" s="43"/>
      <c r="K24" s="43"/>
      <c r="L24" s="43"/>
      <c r="M24" s="43"/>
      <c r="N24" s="43"/>
      <c r="O24" s="43"/>
      <c r="P24" s="43"/>
      <c r="Q24" s="43"/>
    </row>
    <row r="25" spans="5:17">
      <c r="E25" s="43"/>
      <c r="F25" s="43"/>
      <c r="G25" s="43"/>
      <c r="H25" s="43"/>
      <c r="I25" s="43"/>
      <c r="J25" s="43"/>
      <c r="K25" s="43"/>
      <c r="L25" s="43"/>
      <c r="M25" s="43"/>
      <c r="N25" s="43"/>
      <c r="O25" s="43"/>
      <c r="P25" s="43"/>
      <c r="Q25" s="43"/>
    </row>
    <row r="26" spans="5:17">
      <c r="E26" s="43"/>
      <c r="F26" s="43"/>
      <c r="G26" s="43"/>
      <c r="H26" s="43"/>
      <c r="I26" s="43"/>
      <c r="J26" s="43"/>
      <c r="K26" s="43"/>
      <c r="L26" s="43"/>
      <c r="M26" s="43"/>
      <c r="N26" s="43"/>
      <c r="O26" s="43"/>
      <c r="P26" s="43"/>
      <c r="Q26" s="43"/>
    </row>
    <row r="27" spans="5:17">
      <c r="E27" s="43"/>
      <c r="F27" s="43"/>
      <c r="G27" s="43"/>
      <c r="H27" s="43"/>
      <c r="I27" s="43"/>
      <c r="J27" s="43"/>
      <c r="K27" s="43"/>
      <c r="L27" s="43"/>
      <c r="M27" s="43"/>
      <c r="N27" s="43"/>
      <c r="O27" s="43"/>
      <c r="P27" s="43"/>
      <c r="Q27" s="43"/>
    </row>
    <row r="28" spans="5:17">
      <c r="E28" s="43"/>
      <c r="F28" s="43"/>
      <c r="G28" s="43"/>
      <c r="H28" s="43"/>
      <c r="I28" s="43"/>
      <c r="J28" s="43"/>
      <c r="K28" s="43"/>
      <c r="L28" s="43"/>
      <c r="M28" s="43"/>
      <c r="N28" s="43"/>
      <c r="O28" s="43"/>
      <c r="P28" s="43"/>
      <c r="Q28" s="43"/>
    </row>
    <row r="29" spans="5:17">
      <c r="E29" s="43"/>
      <c r="F29" s="43"/>
      <c r="G29" s="43"/>
      <c r="H29" s="43"/>
      <c r="I29" s="43"/>
      <c r="J29" s="43"/>
      <c r="K29" s="43"/>
      <c r="L29" s="43"/>
      <c r="M29" s="43"/>
      <c r="N29" s="43"/>
      <c r="O29" s="43"/>
      <c r="P29" s="43"/>
      <c r="Q29" s="43"/>
    </row>
    <row r="30" spans="5:17">
      <c r="E30" s="43"/>
      <c r="F30" s="43"/>
      <c r="G30" s="43"/>
      <c r="H30" s="43"/>
      <c r="I30" s="43"/>
      <c r="J30" s="43"/>
      <c r="K30" s="43"/>
      <c r="L30" s="43"/>
      <c r="M30" s="43"/>
      <c r="N30" s="43"/>
      <c r="O30" s="43"/>
      <c r="P30" s="43"/>
      <c r="Q30" s="43"/>
    </row>
    <row r="31" spans="5:17">
      <c r="E31" s="43"/>
      <c r="F31" s="43"/>
      <c r="G31" s="43"/>
      <c r="H31" s="43"/>
      <c r="I31" s="43"/>
      <c r="J31" s="43"/>
      <c r="K31" s="43"/>
      <c r="L31" s="43"/>
      <c r="M31" s="43"/>
      <c r="N31" s="43"/>
      <c r="O31" s="43"/>
      <c r="P31" s="43"/>
      <c r="Q31" s="43"/>
    </row>
    <row r="32" spans="5:17">
      <c r="E32" s="43"/>
      <c r="F32" s="43"/>
      <c r="G32" s="43"/>
      <c r="H32" s="43"/>
      <c r="I32" s="43"/>
      <c r="J32" s="43"/>
      <c r="K32" s="43"/>
      <c r="L32" s="43"/>
      <c r="M32" s="43"/>
      <c r="N32" s="43"/>
      <c r="O32" s="43"/>
      <c r="P32" s="43"/>
      <c r="Q32" s="43"/>
    </row>
    <row r="33" spans="2:17">
      <c r="E33" s="43"/>
      <c r="F33" s="43"/>
      <c r="G33" s="43"/>
      <c r="H33" s="43"/>
      <c r="I33" s="43"/>
      <c r="J33" s="43"/>
      <c r="K33" s="43"/>
      <c r="L33" s="43"/>
      <c r="M33" s="43"/>
      <c r="N33" s="43"/>
      <c r="O33" s="43"/>
      <c r="P33" s="43"/>
      <c r="Q33" s="43"/>
    </row>
    <row r="34" spans="2:17">
      <c r="E34" s="43"/>
      <c r="F34" s="43"/>
      <c r="G34" s="43"/>
      <c r="H34" s="43"/>
      <c r="I34" s="43"/>
      <c r="J34" s="43"/>
      <c r="K34" s="43"/>
      <c r="L34" s="43"/>
      <c r="M34" s="43"/>
      <c r="N34" s="43"/>
      <c r="O34" s="43"/>
      <c r="P34" s="43"/>
      <c r="Q34" s="43"/>
    </row>
    <row r="35" spans="2:17">
      <c r="E35" s="43"/>
      <c r="F35" s="43"/>
      <c r="G35" s="43"/>
      <c r="H35" s="43"/>
      <c r="I35" s="43"/>
      <c r="J35" s="43"/>
      <c r="K35" s="43"/>
      <c r="L35" s="43"/>
      <c r="M35" s="43"/>
      <c r="N35" s="43"/>
      <c r="O35" s="43"/>
      <c r="P35" s="43"/>
      <c r="Q35" s="43"/>
    </row>
    <row r="36" spans="2:17">
      <c r="E36" s="43"/>
      <c r="F36" s="43"/>
      <c r="G36" s="43"/>
      <c r="H36" s="43"/>
      <c r="I36" s="43"/>
      <c r="J36" s="43"/>
      <c r="K36" s="43"/>
      <c r="L36" s="43"/>
      <c r="M36" s="43"/>
      <c r="N36" s="43"/>
      <c r="O36" s="43"/>
      <c r="P36" s="43"/>
      <c r="Q36" s="43"/>
    </row>
    <row r="37" spans="2:17">
      <c r="B37" s="2" t="s">
        <v>114</v>
      </c>
      <c r="C37" s="2" t="s">
        <v>115</v>
      </c>
      <c r="E37" s="43"/>
      <c r="F37" s="43"/>
      <c r="G37" s="43"/>
      <c r="H37" s="43"/>
      <c r="I37" s="43"/>
      <c r="J37" s="43"/>
      <c r="K37" s="43"/>
      <c r="L37" s="43"/>
      <c r="M37" s="43"/>
      <c r="N37" s="43"/>
      <c r="O37" s="43"/>
      <c r="P37" s="43"/>
      <c r="Q37" s="43"/>
    </row>
    <row r="38" spans="2:17">
      <c r="C38" s="2" t="s">
        <v>116</v>
      </c>
      <c r="E38" s="43"/>
      <c r="F38" s="43"/>
      <c r="G38" s="43"/>
      <c r="H38" s="43"/>
      <c r="I38" s="43"/>
      <c r="J38" s="43"/>
      <c r="K38" s="43"/>
      <c r="L38" s="43"/>
      <c r="M38" s="43"/>
      <c r="N38" s="43"/>
      <c r="O38" s="43"/>
      <c r="P38" s="43"/>
      <c r="Q38" s="43"/>
    </row>
    <row r="39" spans="2:17">
      <c r="E39" s="43"/>
      <c r="F39" s="43"/>
      <c r="G39" s="43"/>
      <c r="H39" s="43"/>
      <c r="I39" s="43"/>
      <c r="J39" s="43"/>
      <c r="K39" s="43"/>
      <c r="L39" s="43"/>
      <c r="M39" s="43"/>
      <c r="N39" s="43"/>
      <c r="O39" s="43"/>
      <c r="P39" s="43"/>
      <c r="Q39" s="43"/>
    </row>
    <row r="40" spans="2:17">
      <c r="E40" s="43"/>
      <c r="F40" s="43"/>
      <c r="G40" s="43"/>
      <c r="H40" s="43"/>
      <c r="I40" s="43"/>
      <c r="J40" s="43"/>
      <c r="K40" s="43"/>
      <c r="L40" s="43"/>
      <c r="M40" s="43"/>
      <c r="N40" s="43"/>
      <c r="O40" s="43"/>
      <c r="P40" s="43"/>
      <c r="Q40" s="43"/>
    </row>
    <row r="41" spans="2:17">
      <c r="E41" s="43"/>
      <c r="F41" s="43"/>
      <c r="G41" s="43"/>
      <c r="H41" s="43"/>
      <c r="I41" s="43"/>
      <c r="J41" s="43"/>
      <c r="K41" s="43"/>
      <c r="L41" s="43"/>
      <c r="M41" s="43"/>
      <c r="N41" s="43"/>
      <c r="O41" s="43"/>
      <c r="P41" s="43"/>
      <c r="Q41" s="43"/>
    </row>
    <row r="42" spans="2:17">
      <c r="E42" s="43"/>
      <c r="F42" s="43"/>
      <c r="G42" s="43"/>
      <c r="H42" s="43"/>
      <c r="I42" s="43"/>
      <c r="J42" s="43"/>
      <c r="K42" s="43"/>
      <c r="L42" s="43"/>
      <c r="M42" s="43"/>
      <c r="N42" s="43"/>
      <c r="O42" s="43"/>
      <c r="P42" s="43"/>
      <c r="Q42" s="43"/>
    </row>
    <row r="43" spans="2:17">
      <c r="E43" s="43"/>
      <c r="F43" s="43"/>
      <c r="G43" s="43"/>
      <c r="H43" s="43"/>
      <c r="I43" s="43"/>
      <c r="J43" s="43"/>
      <c r="K43" s="43"/>
      <c r="L43" s="43"/>
      <c r="M43" s="43"/>
      <c r="N43" s="43"/>
      <c r="O43" s="43"/>
      <c r="P43" s="43"/>
      <c r="Q43" s="43"/>
    </row>
    <row r="44" spans="2:17">
      <c r="E44" s="43"/>
      <c r="F44" s="43"/>
      <c r="G44" s="43"/>
      <c r="H44" s="43"/>
      <c r="I44" s="43"/>
      <c r="J44" s="43"/>
      <c r="K44" s="43"/>
      <c r="L44" s="43"/>
      <c r="M44" s="43"/>
      <c r="N44" s="43"/>
      <c r="O44" s="43"/>
      <c r="P44" s="43"/>
      <c r="Q44" s="43"/>
    </row>
    <row r="45" spans="2:17">
      <c r="E45" s="43"/>
      <c r="F45" s="43"/>
      <c r="G45" s="43"/>
      <c r="H45" s="43"/>
      <c r="I45" s="43"/>
      <c r="J45" s="43"/>
      <c r="K45" s="43"/>
      <c r="L45" s="43"/>
      <c r="M45" s="43"/>
      <c r="N45" s="43"/>
      <c r="O45" s="43"/>
      <c r="P45" s="43"/>
      <c r="Q45" s="43"/>
    </row>
    <row r="46" spans="2:17">
      <c r="E46" s="43"/>
      <c r="F46" s="43"/>
      <c r="G46" s="43"/>
      <c r="H46" s="43"/>
      <c r="I46" s="43"/>
      <c r="J46" s="43"/>
      <c r="K46" s="43"/>
      <c r="L46" s="43"/>
      <c r="M46" s="43"/>
      <c r="N46" s="43"/>
      <c r="O46" s="43"/>
      <c r="P46" s="43"/>
      <c r="Q46" s="43"/>
    </row>
    <row r="47" spans="2:17">
      <c r="E47" s="43"/>
      <c r="F47" s="43"/>
      <c r="G47" s="43"/>
      <c r="H47" s="43"/>
      <c r="I47" s="43"/>
      <c r="J47" s="43"/>
      <c r="K47" s="43"/>
      <c r="L47" s="43"/>
      <c r="M47" s="43"/>
      <c r="N47" s="43"/>
      <c r="O47" s="43"/>
      <c r="P47" s="43"/>
      <c r="Q47" s="43"/>
    </row>
    <row r="48" spans="2:17">
      <c r="E48" s="43"/>
      <c r="F48" s="43"/>
      <c r="G48" s="43"/>
      <c r="H48" s="43"/>
      <c r="I48" s="43"/>
      <c r="J48" s="43"/>
      <c r="K48" s="43"/>
      <c r="L48" s="43"/>
      <c r="M48" s="43"/>
      <c r="N48" s="43"/>
      <c r="O48" s="43"/>
      <c r="P48" s="43"/>
      <c r="Q48" s="43"/>
    </row>
    <row r="49" spans="5:17">
      <c r="E49" s="43"/>
      <c r="F49" s="43"/>
      <c r="G49" s="43"/>
      <c r="H49" s="43"/>
      <c r="I49" s="43"/>
      <c r="J49" s="43"/>
      <c r="K49" s="43"/>
      <c r="L49" s="43"/>
      <c r="M49" s="43"/>
      <c r="N49" s="43"/>
      <c r="O49" s="43"/>
      <c r="P49" s="43"/>
      <c r="Q49" s="43"/>
    </row>
    <row r="50" spans="5:17">
      <c r="E50" s="43"/>
      <c r="F50" s="43"/>
      <c r="G50" s="43"/>
      <c r="H50" s="43"/>
      <c r="I50" s="43"/>
      <c r="J50" s="43"/>
      <c r="K50" s="43"/>
      <c r="L50" s="43"/>
      <c r="M50" s="43"/>
      <c r="N50" s="43"/>
      <c r="O50" s="43"/>
      <c r="P50" s="43"/>
      <c r="Q50" s="43"/>
    </row>
  </sheetData>
  <pageMargins left="0.7" right="0.7" top="0.75" bottom="0.75" header="0.3" footer="0.3"/>
  <pageSetup paperSize="9" orientation="portrait" r:id="rId1"/>
  <headerFooter>
    <oddHeader>&amp;L&amp;"Calibri"&amp;10&amp;K000000Classified&amp;1#</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7C242-B3E4-46F2-918C-7CBE65A395D5}">
  <dimension ref="A1:B21"/>
  <sheetViews>
    <sheetView workbookViewId="0">
      <selection activeCell="B22" sqref="B22"/>
    </sheetView>
  </sheetViews>
  <sheetFormatPr defaultRowHeight="14.4"/>
  <cols>
    <col min="1" max="1" width="15.88671875" customWidth="1"/>
    <col min="2" max="2" width="139.5546875" customWidth="1"/>
  </cols>
  <sheetData>
    <row r="1" spans="1:2">
      <c r="A1" s="57" t="s">
        <v>117</v>
      </c>
    </row>
    <row r="2" spans="1:2">
      <c r="A2" s="49"/>
    </row>
    <row r="3" spans="1:2">
      <c r="A3" s="57" t="s">
        <v>118</v>
      </c>
      <c r="B3" s="1" t="s">
        <v>119</v>
      </c>
    </row>
    <row r="4" spans="1:2">
      <c r="A4" s="49">
        <v>2017</v>
      </c>
      <c r="B4" s="2" t="s">
        <v>120</v>
      </c>
    </row>
    <row r="5" spans="1:2" ht="40.200000000000003">
      <c r="A5" s="58">
        <v>43135</v>
      </c>
      <c r="B5" s="59" t="s">
        <v>128</v>
      </c>
    </row>
    <row r="6" spans="1:2">
      <c r="A6" s="60">
        <v>43496</v>
      </c>
      <c r="B6" s="2" t="s">
        <v>121</v>
      </c>
    </row>
    <row r="7" spans="1:2">
      <c r="A7" s="60">
        <v>43891</v>
      </c>
      <c r="B7" s="2" t="s">
        <v>122</v>
      </c>
    </row>
    <row r="8" spans="1:2">
      <c r="A8" s="60">
        <v>43831</v>
      </c>
      <c r="B8" s="2" t="s">
        <v>122</v>
      </c>
    </row>
    <row r="9" spans="1:2">
      <c r="A9" s="60">
        <v>44197</v>
      </c>
      <c r="B9" s="2" t="s">
        <v>123</v>
      </c>
    </row>
    <row r="10" spans="1:2">
      <c r="A10" s="60">
        <v>44256</v>
      </c>
      <c r="B10" s="2" t="s">
        <v>124</v>
      </c>
    </row>
    <row r="11" spans="1:2">
      <c r="A11" s="60">
        <v>44564</v>
      </c>
      <c r="B11" s="2" t="s">
        <v>125</v>
      </c>
    </row>
    <row r="12" spans="1:2">
      <c r="A12" s="60">
        <v>44810</v>
      </c>
      <c r="B12" t="s">
        <v>130</v>
      </c>
    </row>
    <row r="13" spans="1:2">
      <c r="A13" s="60">
        <v>44830</v>
      </c>
      <c r="B13" s="2" t="s">
        <v>133</v>
      </c>
    </row>
    <row r="14" spans="1:2">
      <c r="A14" s="60">
        <v>44907</v>
      </c>
      <c r="B14" s="2" t="s">
        <v>137</v>
      </c>
    </row>
    <row r="15" spans="1:2">
      <c r="A15" s="60">
        <v>45310</v>
      </c>
      <c r="B15" s="2" t="s">
        <v>149</v>
      </c>
    </row>
    <row r="16" spans="1:2">
      <c r="A16" s="60"/>
    </row>
    <row r="17" spans="1:2">
      <c r="A17" s="49"/>
      <c r="B17" s="1" t="s">
        <v>126</v>
      </c>
    </row>
    <row r="18" spans="1:2" ht="27">
      <c r="A18" s="49"/>
      <c r="B18" s="59" t="s">
        <v>129</v>
      </c>
    </row>
    <row r="19" spans="1:2">
      <c r="A19" s="49"/>
      <c r="B19" s="2" t="s">
        <v>127</v>
      </c>
    </row>
    <row r="20" spans="1:2">
      <c r="A20" s="49"/>
    </row>
    <row r="21" spans="1:2">
      <c r="A21" s="60"/>
    </row>
  </sheetData>
  <pageMargins left="0.7" right="0.7" top="0.75" bottom="0.75" header="0.3" footer="0.3"/>
  <pageSetup paperSize="9" orientation="portrait" r:id="rId1"/>
  <headerFooter>
    <oddHeader>&amp;L&amp;"Calibri"&amp;10&amp;K000000Classified&amp;1#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Modelldaten</vt:lpstr>
      <vt:lpstr>Geschäftsmodell</vt:lpstr>
      <vt:lpstr>Annuitäten</vt:lpstr>
      <vt:lpstr>Strompreisentwicklung</vt:lpstr>
      <vt:lpstr>Version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Boeke</dc:creator>
  <cp:lastModifiedBy>Ulrich Boeke</cp:lastModifiedBy>
  <dcterms:created xsi:type="dcterms:W3CDTF">2022-09-06T17:19:56Z</dcterms:created>
  <dcterms:modified xsi:type="dcterms:W3CDTF">2024-01-30T17:38:22Z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f7727a-510c-40ce-a418-7fdfc8e6513f_Enabled">
    <vt:lpwstr>true</vt:lpwstr>
  </property>
  <property fmtid="{D5CDD505-2E9C-101B-9397-08002B2CF9AE}" pid="3" name="MSIP_Label_00f7727a-510c-40ce-a418-7fdfc8e6513f_SetDate">
    <vt:lpwstr>2023-01-29T19:03:56Z</vt:lpwstr>
  </property>
  <property fmtid="{D5CDD505-2E9C-101B-9397-08002B2CF9AE}" pid="4" name="MSIP_Label_00f7727a-510c-40ce-a418-7fdfc8e6513f_Method">
    <vt:lpwstr>Standard</vt:lpwstr>
  </property>
  <property fmtid="{D5CDD505-2E9C-101B-9397-08002B2CF9AE}" pid="5" name="MSIP_Label_00f7727a-510c-40ce-a418-7fdfc8e6513f_Name">
    <vt:lpwstr>Classified (without encryption)</vt:lpwstr>
  </property>
  <property fmtid="{D5CDD505-2E9C-101B-9397-08002B2CF9AE}" pid="6" name="MSIP_Label_00f7727a-510c-40ce-a418-7fdfc8e6513f_SiteId">
    <vt:lpwstr>75b2f54b-feff-400d-8e0b-67102edb9a23</vt:lpwstr>
  </property>
  <property fmtid="{D5CDD505-2E9C-101B-9397-08002B2CF9AE}" pid="7" name="MSIP_Label_00f7727a-510c-40ce-a418-7fdfc8e6513f_ActionId">
    <vt:lpwstr>36fa96b1-1440-4c19-bb95-a4cf3773a95e</vt:lpwstr>
  </property>
  <property fmtid="{D5CDD505-2E9C-101B-9397-08002B2CF9AE}" pid="8" name="MSIP_Label_00f7727a-510c-40ce-a418-7fdfc8e6513f_ContentBits">
    <vt:lpwstr>1</vt:lpwstr>
  </property>
</Properties>
</file>